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evadaworks.sharepoint.com/Shared Documents/Nevadaworks Meetings/"/>
    </mc:Choice>
  </mc:AlternateContent>
  <xr:revisionPtr revIDLastSave="0" documentId="8_{D1F2AAD5-6F6D-4196-AC5B-913B98C79067}" xr6:coauthVersionLast="47" xr6:coauthVersionMax="47" xr10:uidLastSave="{00000000-0000-0000-0000-000000000000}"/>
  <bookViews>
    <workbookView xWindow="30675" yWindow="3690" windowWidth="22290" windowHeight="15285" xr2:uid="{00000000-000D-0000-FFFF-FFFF00000000}"/>
  </bookViews>
  <sheets>
    <sheet name="Budget" sheetId="1" r:id="rId1"/>
    <sheet name="Staffing" sheetId="3" state="hidden" r:id="rId2"/>
    <sheet name="Suppor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R77" i="1"/>
  <c r="U77" i="1"/>
  <c r="X77" i="1"/>
  <c r="R83" i="1"/>
  <c r="AJ86" i="1" s="1"/>
  <c r="AP86" i="1" s="1"/>
  <c r="BH86" i="1" s="1"/>
  <c r="U83" i="1"/>
  <c r="AM86" i="1" s="1"/>
  <c r="X83" i="1"/>
  <c r="AS86" i="1" s="1"/>
  <c r="U84" i="1"/>
  <c r="X84" i="1"/>
  <c r="AP87" i="1"/>
  <c r="AP90" i="1" s="1"/>
  <c r="BH87" i="1"/>
  <c r="U90" i="1"/>
  <c r="X96" i="1"/>
  <c r="X97" i="1"/>
  <c r="R98" i="1"/>
  <c r="X98" i="1" s="1"/>
  <c r="U98" i="1"/>
  <c r="X99" i="1"/>
  <c r="X100" i="1" s="1"/>
  <c r="AA100" i="1"/>
  <c r="O50" i="1"/>
  <c r="S50" i="1"/>
  <c r="V50" i="1"/>
  <c r="Y50" i="1"/>
  <c r="AA50" i="1"/>
  <c r="AB50" i="1"/>
  <c r="AE50" i="1"/>
  <c r="AG50" i="1"/>
  <c r="AK50" i="1"/>
  <c r="AM50" i="1"/>
  <c r="AN50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E50" i="1" s="1"/>
  <c r="BF43" i="1"/>
  <c r="BF50" i="1" s="1"/>
  <c r="BG43" i="1"/>
  <c r="D43" i="1"/>
  <c r="D50" i="1" s="1"/>
  <c r="C43" i="1"/>
  <c r="BI10" i="1"/>
  <c r="BI11" i="1"/>
  <c r="BI20" i="1"/>
  <c r="BI21" i="1"/>
  <c r="BI22" i="1"/>
  <c r="BI23" i="1"/>
  <c r="BI24" i="1"/>
  <c r="BI28" i="1"/>
  <c r="BI29" i="1"/>
  <c r="BI30" i="1"/>
  <c r="BJ30" i="1"/>
  <c r="BI33" i="1"/>
  <c r="BI34" i="1"/>
  <c r="BI35" i="1"/>
  <c r="BI36" i="1"/>
  <c r="BI37" i="1"/>
  <c r="BI38" i="1"/>
  <c r="BI39" i="1"/>
  <c r="BI40" i="1"/>
  <c r="BI41" i="1"/>
  <c r="BI42" i="1"/>
  <c r="BI44" i="1"/>
  <c r="BI47" i="1"/>
  <c r="BH48" i="1"/>
  <c r="BH47" i="1"/>
  <c r="BH46" i="1"/>
  <c r="BH45" i="1"/>
  <c r="BH42" i="1"/>
  <c r="BH41" i="1"/>
  <c r="BH40" i="1"/>
  <c r="BH39" i="1"/>
  <c r="BH38" i="1"/>
  <c r="BH37" i="1"/>
  <c r="BH36" i="1"/>
  <c r="BH35" i="1"/>
  <c r="BH34" i="1"/>
  <c r="BH33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1" i="1"/>
  <c r="BH10" i="1"/>
  <c r="R84" i="1" l="1"/>
  <c r="R90" i="1"/>
  <c r="BI43" i="1"/>
  <c r="BH43" i="1"/>
  <c r="E34" i="1"/>
  <c r="BJ34" i="1" s="1"/>
  <c r="E35" i="1"/>
  <c r="BJ35" i="1" s="1"/>
  <c r="E36" i="1"/>
  <c r="BJ36" i="1" s="1"/>
  <c r="E37" i="1"/>
  <c r="E38" i="1"/>
  <c r="BJ38" i="1" s="1"/>
  <c r="E39" i="1"/>
  <c r="E40" i="1"/>
  <c r="BJ40" i="1" s="1"/>
  <c r="E41" i="1"/>
  <c r="BJ41" i="1" s="1"/>
  <c r="E42" i="1"/>
  <c r="BJ42" i="1" s="1"/>
  <c r="E44" i="1"/>
  <c r="E45" i="1"/>
  <c r="E46" i="1"/>
  <c r="E47" i="1"/>
  <c r="E48" i="1"/>
  <c r="C49" i="1"/>
  <c r="BH49" i="1" s="1"/>
  <c r="AR37" i="1"/>
  <c r="AR39" i="1"/>
  <c r="AR43" i="1" l="1"/>
  <c r="BJ37" i="1"/>
  <c r="BJ39" i="1"/>
  <c r="BE12" i="1"/>
  <c r="BF12" i="1"/>
  <c r="BG47" i="1"/>
  <c r="BG50" i="1" s="1"/>
  <c r="BG9" i="1"/>
  <c r="BG12" i="1" s="1"/>
  <c r="AZ19" i="1"/>
  <c r="BA19" i="1" s="1"/>
  <c r="AZ49" i="1"/>
  <c r="BA49" i="1" s="1"/>
  <c r="AZ27" i="1"/>
  <c r="BA27" i="1" s="1"/>
  <c r="AZ9" i="1"/>
  <c r="F55" i="1"/>
  <c r="I55" i="1"/>
  <c r="L55" i="1"/>
  <c r="T32" i="1"/>
  <c r="W32" i="1"/>
  <c r="Z32" i="1"/>
  <c r="AC32" i="1"/>
  <c r="AD32" i="1"/>
  <c r="AD50" i="1" s="1"/>
  <c r="AJ32" i="1"/>
  <c r="AJ50" i="1" s="1"/>
  <c r="AQ32" i="1"/>
  <c r="AQ50" i="1" s="1"/>
  <c r="AS32" i="1"/>
  <c r="AS50" i="1" s="1"/>
  <c r="AT32" i="1"/>
  <c r="AT50" i="1" s="1"/>
  <c r="AU32" i="1"/>
  <c r="AV32" i="1"/>
  <c r="AV50" i="1" s="1"/>
  <c r="AW32" i="1"/>
  <c r="AW50" i="1" s="1"/>
  <c r="AX32" i="1"/>
  <c r="AY32" i="1"/>
  <c r="AY50" i="1" s="1"/>
  <c r="BB32" i="1"/>
  <c r="BB50" i="1" s="1"/>
  <c r="BC32" i="1"/>
  <c r="BC50" i="1" s="1"/>
  <c r="BD17" i="1"/>
  <c r="BD27" i="1"/>
  <c r="BD16" i="1"/>
  <c r="BB12" i="1"/>
  <c r="BC12" i="1"/>
  <c r="BD9" i="1"/>
  <c r="BD12" i="1" s="1"/>
  <c r="AY12" i="1"/>
  <c r="AZ12" i="1"/>
  <c r="AX47" i="1"/>
  <c r="AW12" i="1"/>
  <c r="AX9" i="1"/>
  <c r="AX12" i="1" s="1"/>
  <c r="AV12" i="1"/>
  <c r="E17" i="1"/>
  <c r="E19" i="1"/>
  <c r="E33" i="1"/>
  <c r="E9" i="1"/>
  <c r="AX50" i="1" l="1"/>
  <c r="AZ32" i="1"/>
  <c r="AZ50" i="1" s="1"/>
  <c r="AZ55" i="1" s="1"/>
  <c r="BD32" i="1"/>
  <c r="BD50" i="1"/>
  <c r="BD55" i="1" s="1"/>
  <c r="BJ33" i="1"/>
  <c r="BJ43" i="1" s="1"/>
  <c r="E43" i="1"/>
  <c r="BI9" i="1"/>
  <c r="BI12" i="1" s="1"/>
  <c r="BA9" i="1"/>
  <c r="BA12" i="1" s="1"/>
  <c r="BE55" i="1"/>
  <c r="BG55" i="1"/>
  <c r="BF55" i="1"/>
  <c r="AX55" i="1"/>
  <c r="BB55" i="1"/>
  <c r="AF32" i="1"/>
  <c r="AL32" i="1"/>
  <c r="BA32" i="1"/>
  <c r="BA50" i="1" s="1"/>
  <c r="AY55" i="1"/>
  <c r="BC55" i="1"/>
  <c r="AW55" i="1"/>
  <c r="AV55" i="1"/>
  <c r="D12" i="1"/>
  <c r="E12" i="1"/>
  <c r="AU49" i="1"/>
  <c r="AU17" i="1"/>
  <c r="AU18" i="1"/>
  <c r="AU48" i="1"/>
  <c r="AU16" i="1"/>
  <c r="AU50" i="1" s="1"/>
  <c r="AU9" i="1"/>
  <c r="AU12" i="1" s="1"/>
  <c r="AR31" i="1"/>
  <c r="AR49" i="1"/>
  <c r="AR27" i="1"/>
  <c r="AR9" i="1"/>
  <c r="AR12" i="1" s="1"/>
  <c r="AO17" i="1"/>
  <c r="AO18" i="1"/>
  <c r="AO19" i="1"/>
  <c r="AO48" i="1"/>
  <c r="AO49" i="1"/>
  <c r="AO16" i="1"/>
  <c r="AO50" i="1" s="1"/>
  <c r="AO9" i="1"/>
  <c r="AO12" i="1" s="1"/>
  <c r="AL17" i="1"/>
  <c r="AL18" i="1"/>
  <c r="AL19" i="1"/>
  <c r="AL20" i="1"/>
  <c r="BJ20" i="1" s="1"/>
  <c r="AL21" i="1"/>
  <c r="BJ21" i="1" s="1"/>
  <c r="AL24" i="1"/>
  <c r="BJ24" i="1" s="1"/>
  <c r="AL25" i="1"/>
  <c r="AL47" i="1"/>
  <c r="BJ47" i="1" s="1"/>
  <c r="AL48" i="1"/>
  <c r="AL49" i="1"/>
  <c r="AL16" i="1"/>
  <c r="AL9" i="1"/>
  <c r="AL12" i="1" s="1"/>
  <c r="AI9" i="1"/>
  <c r="AI12" i="1" s="1"/>
  <c r="AF17" i="1"/>
  <c r="AF18" i="1"/>
  <c r="AF19" i="1"/>
  <c r="AF25" i="1"/>
  <c r="AF28" i="1"/>
  <c r="BJ28" i="1" s="1"/>
  <c r="AF29" i="1"/>
  <c r="BJ29" i="1" s="1"/>
  <c r="AF48" i="1"/>
  <c r="AF49" i="1"/>
  <c r="AF16" i="1"/>
  <c r="AF9" i="1"/>
  <c r="AF12" i="1" s="1"/>
  <c r="AG55" i="1"/>
  <c r="AE12" i="1"/>
  <c r="AE55" i="1" s="1"/>
  <c r="AH12" i="1"/>
  <c r="AJ12" i="1"/>
  <c r="AK12" i="1"/>
  <c r="AM12" i="1"/>
  <c r="AM55" i="1" s="1"/>
  <c r="AN12" i="1"/>
  <c r="AP12" i="1"/>
  <c r="AQ12" i="1"/>
  <c r="AS12" i="1"/>
  <c r="AS55" i="1" s="1"/>
  <c r="AT12" i="1"/>
  <c r="AC17" i="1"/>
  <c r="AC18" i="1"/>
  <c r="AC19" i="1"/>
  <c r="AC48" i="1"/>
  <c r="AC49" i="1"/>
  <c r="AC16" i="1"/>
  <c r="K9" i="1"/>
  <c r="K12" i="1" s="1"/>
  <c r="J12" i="1"/>
  <c r="AL50" i="1" l="1"/>
  <c r="AF50" i="1"/>
  <c r="AC50" i="1"/>
  <c r="AQ55" i="1"/>
  <c r="AU55" i="1"/>
  <c r="BA55" i="1"/>
  <c r="AR32" i="1"/>
  <c r="AR50" i="1" s="1"/>
  <c r="AK55" i="1"/>
  <c r="AN55" i="1"/>
  <c r="AT55" i="1"/>
  <c r="D55" i="1"/>
  <c r="AO55" i="1"/>
  <c r="AH13" i="1"/>
  <c r="AH32" i="1" s="1"/>
  <c r="AI32" i="1" s="1"/>
  <c r="J13" i="1"/>
  <c r="AR55" i="1" l="1"/>
  <c r="J49" i="1"/>
  <c r="K49" i="1" s="1"/>
  <c r="J32" i="1"/>
  <c r="K32" i="1" s="1"/>
  <c r="AH49" i="1"/>
  <c r="AI49" i="1" s="1"/>
  <c r="AH18" i="1"/>
  <c r="AI18" i="1" s="1"/>
  <c r="AH45" i="1"/>
  <c r="BI45" i="1" s="1"/>
  <c r="AH46" i="1"/>
  <c r="BI46" i="1" s="1"/>
  <c r="AH48" i="1"/>
  <c r="AI48" i="1" s="1"/>
  <c r="AH17" i="1"/>
  <c r="AI17" i="1" s="1"/>
  <c r="AH19" i="1"/>
  <c r="AI19" i="1" s="1"/>
  <c r="AH16" i="1"/>
  <c r="J48" i="1"/>
  <c r="J16" i="1"/>
  <c r="J50" i="1" s="1"/>
  <c r="AH50" i="1" l="1"/>
  <c r="AI16" i="1"/>
  <c r="AH55" i="1"/>
  <c r="K16" i="1"/>
  <c r="J55" i="1"/>
  <c r="AI45" i="1"/>
  <c r="AI46" i="1"/>
  <c r="BJ46" i="1" s="1"/>
  <c r="K48" i="1"/>
  <c r="K50" i="1" l="1"/>
  <c r="AI50" i="1"/>
  <c r="AI55" i="1" s="1"/>
  <c r="K55" i="1"/>
  <c r="AB12" i="1"/>
  <c r="Z48" i="1"/>
  <c r="Z17" i="1"/>
  <c r="Z22" i="1"/>
  <c r="Z23" i="1"/>
  <c r="Z45" i="1"/>
  <c r="BJ45" i="1" s="1"/>
  <c r="Z49" i="1"/>
  <c r="Z16" i="1"/>
  <c r="Y12" i="1"/>
  <c r="Z10" i="1"/>
  <c r="Z11" i="1"/>
  <c r="Z9" i="1"/>
  <c r="W17" i="1"/>
  <c r="W22" i="1"/>
  <c r="W23" i="1"/>
  <c r="W48" i="1"/>
  <c r="W49" i="1"/>
  <c r="W16" i="1"/>
  <c r="W10" i="1"/>
  <c r="W11" i="1"/>
  <c r="W9" i="1"/>
  <c r="V12" i="1"/>
  <c r="T17" i="1"/>
  <c r="T22" i="1"/>
  <c r="T23" i="1"/>
  <c r="T48" i="1"/>
  <c r="T49" i="1"/>
  <c r="T16" i="1"/>
  <c r="T10" i="1"/>
  <c r="T11" i="1"/>
  <c r="T9" i="1"/>
  <c r="S12" i="1"/>
  <c r="BJ23" i="1" l="1"/>
  <c r="BJ22" i="1"/>
  <c r="BJ11" i="1"/>
  <c r="BJ10" i="1"/>
  <c r="W12" i="1"/>
  <c r="AB55" i="1"/>
  <c r="Y55" i="1"/>
  <c r="V55" i="1"/>
  <c r="S55" i="1"/>
  <c r="Z12" i="1"/>
  <c r="T12" i="1"/>
  <c r="Q9" i="1" l="1"/>
  <c r="Q12" i="1" s="1"/>
  <c r="P12" i="1"/>
  <c r="M12" i="1"/>
  <c r="N9" i="1"/>
  <c r="N12" i="1" s="1"/>
  <c r="H9" i="1"/>
  <c r="G12" i="1"/>
  <c r="AA65" i="1"/>
  <c r="AA64" i="1"/>
  <c r="X44" i="1"/>
  <c r="X50" i="1" s="1"/>
  <c r="U44" i="1"/>
  <c r="U50" i="1" s="1"/>
  <c r="R44" i="1"/>
  <c r="X68" i="1"/>
  <c r="X67" i="1"/>
  <c r="X76" i="1" s="1"/>
  <c r="X78" i="1" s="1"/>
  <c r="L59" i="3"/>
  <c r="U68" i="1"/>
  <c r="U72" i="1"/>
  <c r="U75" i="1" s="1"/>
  <c r="U71" i="1"/>
  <c r="U74" i="1" s="1"/>
  <c r="U67" i="1"/>
  <c r="X72" i="1"/>
  <c r="X75" i="1" s="1"/>
  <c r="X71" i="1"/>
  <c r="X74" i="1" s="1"/>
  <c r="R68" i="1"/>
  <c r="R71" i="1"/>
  <c r="R74" i="1" s="1"/>
  <c r="R72" i="1"/>
  <c r="R75" i="1" s="1"/>
  <c r="R67" i="1"/>
  <c r="AD12" i="1"/>
  <c r="C12" i="1"/>
  <c r="AP32" i="1"/>
  <c r="O55" i="1"/>
  <c r="D56" i="3"/>
  <c r="D59" i="3" s="1"/>
  <c r="C16" i="1"/>
  <c r="S21" i="3"/>
  <c r="S22" i="3"/>
  <c r="S23" i="3"/>
  <c r="S24" i="3"/>
  <c r="U73" i="1" l="1"/>
  <c r="U76" i="1"/>
  <c r="U78" i="1" s="1"/>
  <c r="R73" i="1"/>
  <c r="R76" i="1"/>
  <c r="R78" i="1" s="1"/>
  <c r="U91" i="1"/>
  <c r="U93" i="1" s="1"/>
  <c r="BH44" i="1"/>
  <c r="R50" i="1"/>
  <c r="BH16" i="1"/>
  <c r="C50" i="1"/>
  <c r="BH32" i="1"/>
  <c r="AP50" i="1"/>
  <c r="AP55" i="1" s="1"/>
  <c r="E16" i="1"/>
  <c r="M13" i="1"/>
  <c r="AD55" i="1"/>
  <c r="AF55" i="1"/>
  <c r="AL55" i="1"/>
  <c r="AJ55" i="1"/>
  <c r="H12" i="1"/>
  <c r="Z44" i="1"/>
  <c r="W44" i="1"/>
  <c r="T44" i="1"/>
  <c r="P13" i="1"/>
  <c r="P32" i="1" s="1"/>
  <c r="Q32" i="1" s="1"/>
  <c r="G13" i="1"/>
  <c r="G32" i="1" s="1"/>
  <c r="U12" i="1"/>
  <c r="U87" i="1" s="1"/>
  <c r="R12" i="1"/>
  <c r="X12" i="1"/>
  <c r="X87" i="1" s="1"/>
  <c r="X73" i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6" i="3"/>
  <c r="R56" i="3"/>
  <c r="R59" i="3" s="1"/>
  <c r="Q56" i="3"/>
  <c r="P56" i="3"/>
  <c r="P59" i="3" s="1"/>
  <c r="O56" i="3"/>
  <c r="O59" i="3" s="1"/>
  <c r="N56" i="3"/>
  <c r="N59" i="3" s="1"/>
  <c r="M56" i="3"/>
  <c r="M59" i="3" s="1"/>
  <c r="L56" i="3"/>
  <c r="K56" i="3"/>
  <c r="J56" i="3"/>
  <c r="I56" i="3"/>
  <c r="H56" i="3"/>
  <c r="G56" i="3"/>
  <c r="G59" i="3" s="1"/>
  <c r="F56" i="3"/>
  <c r="E56" i="3"/>
  <c r="R86" i="1" l="1"/>
  <c r="R87" i="1"/>
  <c r="R91" i="1" s="1"/>
  <c r="R93" i="1" s="1"/>
  <c r="BH50" i="1"/>
  <c r="BJ44" i="1"/>
  <c r="T50" i="1"/>
  <c r="W50" i="1"/>
  <c r="W55" i="1" s="1"/>
  <c r="Z50" i="1"/>
  <c r="Z55" i="1" s="1"/>
  <c r="M32" i="1"/>
  <c r="N32" i="1" s="1"/>
  <c r="M16" i="1"/>
  <c r="T55" i="1"/>
  <c r="H32" i="1"/>
  <c r="M17" i="1"/>
  <c r="M27" i="1"/>
  <c r="R55" i="1"/>
  <c r="U55" i="1"/>
  <c r="X55" i="1"/>
  <c r="M25" i="1"/>
  <c r="BI25" i="1" s="1"/>
  <c r="M49" i="1"/>
  <c r="N49" i="1" s="1"/>
  <c r="M18" i="1"/>
  <c r="BI18" i="1" s="1"/>
  <c r="M48" i="1"/>
  <c r="N48" i="1" s="1"/>
  <c r="M26" i="1"/>
  <c r="BI26" i="1" s="1"/>
  <c r="M19" i="1"/>
  <c r="BI19" i="1" s="1"/>
  <c r="P49" i="1"/>
  <c r="Q49" i="1" s="1"/>
  <c r="P27" i="1"/>
  <c r="P48" i="1"/>
  <c r="Q48" i="1" s="1"/>
  <c r="P17" i="1"/>
  <c r="Q17" i="1" s="1"/>
  <c r="P16" i="1"/>
  <c r="P50" i="1" s="1"/>
  <c r="P31" i="1"/>
  <c r="BI31" i="1" s="1"/>
  <c r="G48" i="1"/>
  <c r="G49" i="1"/>
  <c r="G16" i="1"/>
  <c r="H59" i="3"/>
  <c r="S59" i="3" s="1"/>
  <c r="S56" i="3"/>
  <c r="M50" i="1" l="1"/>
  <c r="BI16" i="1"/>
  <c r="G50" i="1"/>
  <c r="G55" i="1" s="1"/>
  <c r="N16" i="1"/>
  <c r="BI17" i="1"/>
  <c r="BJ32" i="1"/>
  <c r="BI48" i="1"/>
  <c r="BI32" i="1"/>
  <c r="BI27" i="1"/>
  <c r="D49" i="1"/>
  <c r="BI49" i="1" s="1"/>
  <c r="P55" i="1"/>
  <c r="N17" i="1"/>
  <c r="BJ17" i="1" s="1"/>
  <c r="M55" i="1"/>
  <c r="N27" i="1"/>
  <c r="Q27" i="1"/>
  <c r="N25" i="1"/>
  <c r="BJ25" i="1" s="1"/>
  <c r="N19" i="1"/>
  <c r="BJ19" i="1" s="1"/>
  <c r="N18" i="1"/>
  <c r="BJ18" i="1" s="1"/>
  <c r="N26" i="1"/>
  <c r="BJ26" i="1" s="1"/>
  <c r="Q31" i="1"/>
  <c r="BJ31" i="1" s="1"/>
  <c r="Q16" i="1"/>
  <c r="Q50" i="1" s="1"/>
  <c r="H16" i="1"/>
  <c r="H49" i="1"/>
  <c r="H48" i="1"/>
  <c r="BJ48" i="1" s="1"/>
  <c r="AA9" i="1"/>
  <c r="BH9" i="1" s="1"/>
  <c r="N50" i="1" l="1"/>
  <c r="BJ16" i="1"/>
  <c r="H50" i="1"/>
  <c r="BI50" i="1"/>
  <c r="BI55" i="1" s="1"/>
  <c r="BJ27" i="1"/>
  <c r="BH12" i="1"/>
  <c r="BH55" i="1" s="1"/>
  <c r="E49" i="1"/>
  <c r="E50" i="1" s="1"/>
  <c r="N55" i="1"/>
  <c r="H55" i="1"/>
  <c r="Q55" i="1"/>
  <c r="AC9" i="1"/>
  <c r="AA12" i="1"/>
  <c r="AA55" i="1" s="1"/>
  <c r="BJ49" i="1" l="1"/>
  <c r="BJ50" i="1" s="1"/>
  <c r="BJ9" i="1"/>
  <c r="BJ12" i="1" s="1"/>
  <c r="E55" i="1"/>
  <c r="AC12" i="1"/>
  <c r="AC55" i="1" s="1"/>
  <c r="C55" i="1"/>
  <c r="BJ55" i="1" l="1"/>
</calcChain>
</file>

<file path=xl/sharedStrings.xml><?xml version="1.0" encoding="utf-8"?>
<sst xmlns="http://schemas.openxmlformats.org/spreadsheetml/2006/main" count="367" uniqueCount="179">
  <si>
    <t>Nevadaworks Proposed Budget PY2025 - 010926</t>
  </si>
  <si>
    <t>Needs updating</t>
  </si>
  <si>
    <t xml:space="preserve">Mod? </t>
  </si>
  <si>
    <t>Mod Pending</t>
  </si>
  <si>
    <t>Mod pending</t>
  </si>
  <si>
    <t>Michelle</t>
  </si>
  <si>
    <t>Cheryl</t>
  </si>
  <si>
    <t>Brandi</t>
  </si>
  <si>
    <t>06</t>
  </si>
  <si>
    <t>12</t>
  </si>
  <si>
    <t>13</t>
  </si>
  <si>
    <t>17</t>
  </si>
  <si>
    <t>18</t>
  </si>
  <si>
    <t>19</t>
  </si>
  <si>
    <t>31</t>
  </si>
  <si>
    <t>32</t>
  </si>
  <si>
    <t>33</t>
  </si>
  <si>
    <t>Yellow = Revision, White = No Revision</t>
  </si>
  <si>
    <t>Cost Pool</t>
  </si>
  <si>
    <t>Quest</t>
  </si>
  <si>
    <t>Incumbent Worker</t>
  </si>
  <si>
    <t>Battery</t>
  </si>
  <si>
    <t>GR - Disconnected Yth</t>
  </si>
  <si>
    <t>WIOA Adult</t>
  </si>
  <si>
    <t>WIOA Dislocated Worker</t>
  </si>
  <si>
    <t>WIOA Youth</t>
  </si>
  <si>
    <t>Good Jobs</t>
  </si>
  <si>
    <t>Apprenticeship (ABA)</t>
  </si>
  <si>
    <t>Area Health (AHEC)</t>
  </si>
  <si>
    <t>Youth Hub</t>
  </si>
  <si>
    <t>Tech Hub</t>
  </si>
  <si>
    <t>Boys &amp; Girls</t>
  </si>
  <si>
    <t>Pathway</t>
  </si>
  <si>
    <t>AJCN Expand</t>
  </si>
  <si>
    <t>Tech Hub 2</t>
  </si>
  <si>
    <t>NPWR</t>
  </si>
  <si>
    <t>Oddie</t>
  </si>
  <si>
    <t>Total</t>
  </si>
  <si>
    <t>Board Approved 010926</t>
  </si>
  <si>
    <t>Difference</t>
  </si>
  <si>
    <t>Proposed Budget 050826</t>
  </si>
  <si>
    <t>Revenues</t>
  </si>
  <si>
    <t>PY25 Revenue</t>
  </si>
  <si>
    <t>CarryOver Estimate</t>
  </si>
  <si>
    <t xml:space="preserve">PY24 Unobligated </t>
  </si>
  <si>
    <t>Total Revenues</t>
  </si>
  <si>
    <t xml:space="preserve"> </t>
  </si>
  <si>
    <t>Expenses</t>
  </si>
  <si>
    <t>Salaries</t>
  </si>
  <si>
    <t>Fringe Benefits</t>
  </si>
  <si>
    <t>Travel</t>
  </si>
  <si>
    <t>Supplies</t>
  </si>
  <si>
    <t>Property Lease</t>
  </si>
  <si>
    <t>Equipment Lease</t>
  </si>
  <si>
    <t>Future Works</t>
  </si>
  <si>
    <t>Metrics Learning</t>
  </si>
  <si>
    <t>Janitorial Services</t>
  </si>
  <si>
    <t>Outreach campaign</t>
  </si>
  <si>
    <t>Career Pathway</t>
  </si>
  <si>
    <t>Subawards</t>
  </si>
  <si>
    <t>Apprentieships(IAA)</t>
  </si>
  <si>
    <t>Jobs (J4NG)</t>
  </si>
  <si>
    <t>NV after school</t>
  </si>
  <si>
    <t>Indirect Subawards</t>
  </si>
  <si>
    <t>MIP</t>
  </si>
  <si>
    <t>Atlas</t>
  </si>
  <si>
    <t>Estipoina Group</t>
  </si>
  <si>
    <t>McCarron</t>
  </si>
  <si>
    <t>Velocity Strategic</t>
  </si>
  <si>
    <t>NOW CFO</t>
  </si>
  <si>
    <t>AccountZen</t>
  </si>
  <si>
    <t>Xogenous</t>
  </si>
  <si>
    <t>Bluestone</t>
  </si>
  <si>
    <t>Stacy Wyman</t>
  </si>
  <si>
    <t>Undistributed</t>
  </si>
  <si>
    <t>Office Expenses</t>
  </si>
  <si>
    <t xml:space="preserve">Training/Tuition </t>
  </si>
  <si>
    <t>Construction</t>
  </si>
  <si>
    <t>Program Expense (other+)</t>
  </si>
  <si>
    <t>Nevadaworks Administration Expense (Indirect)</t>
  </si>
  <si>
    <t>Total Expenses</t>
  </si>
  <si>
    <t xml:space="preserve">GR </t>
  </si>
  <si>
    <t>WIOA Dislocated</t>
  </si>
  <si>
    <t>Tech Hub 3</t>
  </si>
  <si>
    <t>NET SURPLUS/(DEFICIT)</t>
  </si>
  <si>
    <t>ENDING FUND BALANCE</t>
  </si>
  <si>
    <t>WIOA Awards PY25</t>
  </si>
  <si>
    <t>Adult</t>
  </si>
  <si>
    <t>DW</t>
  </si>
  <si>
    <t>Youth</t>
  </si>
  <si>
    <t>AD+DW</t>
  </si>
  <si>
    <t>Program</t>
  </si>
  <si>
    <t>Admin</t>
  </si>
  <si>
    <t>Unobligated program for PY26</t>
  </si>
  <si>
    <t>Unobligated admin for PY26</t>
  </si>
  <si>
    <t>Unobligated %</t>
  </si>
  <si>
    <t>Staffing funding gap calculation</t>
  </si>
  <si>
    <t>Included in Grants</t>
  </si>
  <si>
    <t>Per Paylocity</t>
  </si>
  <si>
    <t>18.5% benefits</t>
  </si>
  <si>
    <t>Contract Amount</t>
  </si>
  <si>
    <t>BALANCE</t>
  </si>
  <si>
    <t>METRO</t>
  </si>
  <si>
    <t>TOTAL</t>
  </si>
  <si>
    <t>EQUUS PY25 BUDGET</t>
  </si>
  <si>
    <t>PY24-10%</t>
  </si>
  <si>
    <t>10% reduction PY25</t>
  </si>
  <si>
    <t>Proposed PY25</t>
  </si>
  <si>
    <t>Metro</t>
  </si>
  <si>
    <t>Balance</t>
  </si>
  <si>
    <t>Proposed</t>
  </si>
  <si>
    <t>Reduction %</t>
  </si>
  <si>
    <t>Nevadaworks</t>
  </si>
  <si>
    <t>Working Draft Budget PY25</t>
  </si>
  <si>
    <t>5% increase</t>
  </si>
  <si>
    <t>29</t>
  </si>
  <si>
    <t>Position</t>
  </si>
  <si>
    <t>Name</t>
  </si>
  <si>
    <t>Annual Salary</t>
  </si>
  <si>
    <t>GR - DisYouth</t>
  </si>
  <si>
    <t>Apprentices (ABA)</t>
  </si>
  <si>
    <t>Program Manager</t>
  </si>
  <si>
    <t xml:space="preserve">Industry Sector Liaison </t>
  </si>
  <si>
    <t>Tribal Career Navigator</t>
  </si>
  <si>
    <t>Senior Regional Career Navigator</t>
  </si>
  <si>
    <t>Regional Career Navigator</t>
  </si>
  <si>
    <t xml:space="preserve">Talent Development Director </t>
  </si>
  <si>
    <t>Grants  Manager</t>
  </si>
  <si>
    <t>General staff w/o details</t>
  </si>
  <si>
    <t>Community Health Advocate</t>
  </si>
  <si>
    <t>Project Director</t>
  </si>
  <si>
    <t>Grant Program Manager</t>
  </si>
  <si>
    <t>Tribal Navigator</t>
  </si>
  <si>
    <t xml:space="preserve">Finance Specialist </t>
  </si>
  <si>
    <t>Career Navigator</t>
  </si>
  <si>
    <t>Donna Saunders</t>
  </si>
  <si>
    <t>Chief Executive Officer</t>
  </si>
  <si>
    <t>Milton Stewart</t>
  </si>
  <si>
    <t>Chief Program Officer</t>
  </si>
  <si>
    <t xml:space="preserve">Michelle Long </t>
  </si>
  <si>
    <t>Data Architect</t>
  </si>
  <si>
    <t>Gordon Olson</t>
  </si>
  <si>
    <t>Finance Manager</t>
  </si>
  <si>
    <t>Brenda Kresge</t>
  </si>
  <si>
    <t>Finance Specialist I</t>
  </si>
  <si>
    <t>Amir Asadi Fordouei</t>
  </si>
  <si>
    <t xml:space="preserve">Brenna Burns </t>
  </si>
  <si>
    <t>Finance Specialist II</t>
  </si>
  <si>
    <t>Linda Devon</t>
  </si>
  <si>
    <t>Good Jobs Program Manager</t>
  </si>
  <si>
    <t>Brandi Mondragon</t>
  </si>
  <si>
    <t>Good Jobs Program Specialist</t>
  </si>
  <si>
    <t>Amoreena Victorine</t>
  </si>
  <si>
    <t>Good Jobs Regional Career Navigator</t>
  </si>
  <si>
    <t>DeAnn Jackson</t>
  </si>
  <si>
    <t>Morgan Prout</t>
  </si>
  <si>
    <t>Nancy Roe</t>
  </si>
  <si>
    <t>Industry Engaagement Specialist</t>
  </si>
  <si>
    <t>Ryan Hogan</t>
  </si>
  <si>
    <t xml:space="preserve">Robert McLaughlin </t>
  </si>
  <si>
    <t>Kristen Dwyer</t>
  </si>
  <si>
    <t>Program Specialist I</t>
  </si>
  <si>
    <t>Kevin Rodgers</t>
  </si>
  <si>
    <t>Program Specialist II</t>
  </si>
  <si>
    <t>Sharyn Juarez</t>
  </si>
  <si>
    <t>Project Coordinator</t>
  </si>
  <si>
    <t>Christopher Payne</t>
  </si>
  <si>
    <t>Special Projects</t>
  </si>
  <si>
    <t>Rena Drake</t>
  </si>
  <si>
    <t>Strategic Projects Director</t>
  </si>
  <si>
    <t>Cheryl Olson</t>
  </si>
  <si>
    <t>Thurman Roberts</t>
  </si>
  <si>
    <t>Fringe Benefits %</t>
  </si>
  <si>
    <t>NA</t>
  </si>
  <si>
    <t>Medicare</t>
  </si>
  <si>
    <t>NVSUI - scaled $41,800</t>
  </si>
  <si>
    <t>NVCLA</t>
  </si>
  <si>
    <t>Contract Services (Subtotal)</t>
  </si>
  <si>
    <t>Vendor Services (Subtotal)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</si>
</sst>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#,##0.00000"/>
  </numFmts>
  <fonts count="14" x14ac:knownFonts="1">
    <font>
      <sz val="10"/>
      <color rgb="FF000000"/>
      <name val="Arial"/>
    </font>
    <font>
      <b/>
      <sz val="14.5"/>
      <name val="Segoe UI"/>
      <family val="2"/>
    </font>
    <font>
      <sz val="12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000000"/>
      <name val="Aptos Narrow"/>
      <family val="2"/>
    </font>
    <font>
      <sz val="10"/>
      <name val="Calibri"/>
      <family val="2"/>
    </font>
    <font>
      <b/>
      <sz val="10"/>
      <name val="Segoe UI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Segoe U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4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4" fontId="0" fillId="0" borderId="0" xfId="0" applyNumberFormat="1"/>
    <xf numFmtId="4" fontId="2" fillId="0" borderId="0" xfId="0" quotePrefix="1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vertical="top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3" fillId="0" borderId="0" xfId="0" applyNumberFormat="1" applyFont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4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49" fontId="4" fillId="0" borderId="0" xfId="0" applyNumberFormat="1" applyFont="1"/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center" vertical="top"/>
    </xf>
    <xf numFmtId="4" fontId="2" fillId="2" borderId="0" xfId="0" applyNumberFormat="1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8" fontId="7" fillId="0" borderId="0" xfId="0" applyNumberFormat="1" applyFont="1"/>
    <xf numFmtId="9" fontId="3" fillId="0" borderId="0" xfId="2" applyFont="1" applyAlignment="1">
      <alignment horizontal="right" vertical="top"/>
    </xf>
    <xf numFmtId="9" fontId="0" fillId="0" borderId="0" xfId="2" applyFont="1"/>
    <xf numFmtId="9" fontId="3" fillId="0" borderId="0" xfId="2" applyFont="1" applyAlignment="1">
      <alignment vertical="top"/>
    </xf>
    <xf numFmtId="164" fontId="0" fillId="0" borderId="0" xfId="2" applyNumberFormat="1" applyFont="1"/>
    <xf numFmtId="164" fontId="3" fillId="0" borderId="0" xfId="2" applyNumberFormat="1" applyFont="1" applyAlignment="1">
      <alignment vertical="top"/>
    </xf>
    <xf numFmtId="0" fontId="8" fillId="0" borderId="0" xfId="0" applyFont="1" applyAlignment="1">
      <alignment horizontal="left" vertical="top" wrapText="1"/>
    </xf>
    <xf numFmtId="165" fontId="0" fillId="0" borderId="0" xfId="2" applyNumberFormat="1" applyFont="1"/>
    <xf numFmtId="165" fontId="3" fillId="0" borderId="0" xfId="2" applyNumberFormat="1" applyFont="1" applyAlignment="1">
      <alignment vertical="top"/>
    </xf>
    <xf numFmtId="6" fontId="6" fillId="0" borderId="0" xfId="0" applyNumberFormat="1" applyFont="1"/>
    <xf numFmtId="4" fontId="2" fillId="3" borderId="0" xfId="0" applyNumberFormat="1" applyFont="1" applyFill="1" applyAlignment="1">
      <alignment horizontal="center" vertical="top"/>
    </xf>
    <xf numFmtId="8" fontId="3" fillId="0" borderId="0" xfId="0" applyNumberFormat="1" applyFont="1" applyAlignment="1">
      <alignment vertical="top"/>
    </xf>
    <xf numFmtId="10" fontId="3" fillId="0" borderId="0" xfId="2" applyNumberFormat="1" applyFont="1" applyAlignment="1">
      <alignment horizontal="right" vertical="top"/>
    </xf>
    <xf numFmtId="10" fontId="0" fillId="0" borderId="0" xfId="2" applyNumberFormat="1" applyFont="1"/>
    <xf numFmtId="3" fontId="2" fillId="3" borderId="0" xfId="0" applyNumberFormat="1" applyFont="1" applyFill="1" applyAlignment="1">
      <alignment horizontal="center" vertical="top"/>
    </xf>
    <xf numFmtId="4" fontId="9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9" fontId="5" fillId="0" borderId="0" xfId="0" applyNumberFormat="1" applyFont="1"/>
    <xf numFmtId="4" fontId="5" fillId="0" borderId="0" xfId="0" applyNumberFormat="1" applyFont="1"/>
    <xf numFmtId="14" fontId="3" fillId="0" borderId="0" xfId="0" applyNumberFormat="1" applyFont="1" applyAlignment="1">
      <alignment vertical="top"/>
    </xf>
    <xf numFmtId="9" fontId="5" fillId="0" borderId="0" xfId="2" applyFont="1"/>
    <xf numFmtId="166" fontId="0" fillId="0" borderId="0" xfId="0" applyNumberFormat="1"/>
    <xf numFmtId="3" fontId="0" fillId="0" borderId="0" xfId="0" applyNumberFormat="1"/>
    <xf numFmtId="4" fontId="0" fillId="2" borderId="0" xfId="0" applyNumberFormat="1" applyFill="1"/>
    <xf numFmtId="4" fontId="0" fillId="4" borderId="0" xfId="0" applyNumberFormat="1" applyFill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Fill="1"/>
    <xf numFmtId="165" fontId="5" fillId="0" borderId="0" xfId="2" applyNumberFormat="1" applyFont="1" applyAlignment="1">
      <alignment horizontal="center"/>
    </xf>
    <xf numFmtId="44" fontId="5" fillId="0" borderId="0" xfId="1" applyFont="1"/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10" fillId="0" borderId="0" xfId="0" applyNumberFormat="1" applyFont="1"/>
    <xf numFmtId="4" fontId="11" fillId="0" borderId="0" xfId="0" applyNumberFormat="1" applyFont="1"/>
    <xf numFmtId="49" fontId="3" fillId="0" borderId="5" xfId="0" applyNumberFormat="1" applyFont="1" applyBorder="1" applyAlignment="1">
      <alignment vertical="top"/>
    </xf>
    <xf numFmtId="4" fontId="0" fillId="0" borderId="0" xfId="0" applyNumberFormat="1" applyAlignment="1">
      <alignment horizontal="left"/>
    </xf>
    <xf numFmtId="3" fontId="11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3" fontId="3" fillId="0" borderId="5" xfId="0" applyNumberFormat="1" applyFont="1" applyBorder="1" applyAlignment="1">
      <alignment horizontal="right" vertical="top"/>
    </xf>
    <xf numFmtId="3" fontId="12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3" fontId="4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328164</xdr:colOff>
      <xdr:row>45</xdr:row>
      <xdr:rowOff>69007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5E9EF9-4717-7C04-7829-E8A1BAD2F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2240"/>
          <a:ext cx="5814564" cy="4930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12"/>
  <sheetViews>
    <sheetView tabSelected="1" zoomScale="150" zoomScaleNormal="145" workbookViewId="0">
      <pane xSplit="2" ySplit="7" topLeftCell="E8" activePane="bottomRight" state="frozen"/>
      <selection pane="topRight" activeCell="C1" sqref="C1"/>
      <selection pane="bottomLeft" activeCell="A8" sqref="A8"/>
      <selection pane="bottomRight" activeCell="A63" sqref="A63:XFD90"/>
    </sheetView>
  </sheetViews>
  <sheetFormatPr defaultColWidth="9.109375" defaultRowHeight="13.2" outlineLevelRow="2" outlineLevelCol="1" x14ac:dyDescent="0.25"/>
  <cols>
    <col min="1" max="1" width="28.109375" style="18" customWidth="1"/>
    <col min="2" max="2" width="0.6640625" style="18" customWidth="1"/>
    <col min="3" max="3" width="16.77734375" style="5" hidden="1" customWidth="1" outlineLevel="1"/>
    <col min="4" max="4" width="7.44140625" style="5" hidden="1" customWidth="1" outlineLevel="1"/>
    <col min="5" max="5" width="17.44140625" style="5" bestFit="1" customWidth="1" collapsed="1"/>
    <col min="6" max="6" width="16.77734375" style="5" hidden="1" customWidth="1" outlineLevel="1"/>
    <col min="7" max="7" width="7.44140625" style="5" hidden="1" customWidth="1" outlineLevel="1"/>
    <col min="8" max="8" width="17.44140625" style="5" bestFit="1" customWidth="1" collapsed="1"/>
    <col min="9" max="9" width="16.77734375" style="5" hidden="1" customWidth="1" outlineLevel="1"/>
    <col min="10" max="10" width="7.44140625" style="5" hidden="1" customWidth="1" outlineLevel="1"/>
    <col min="11" max="11" width="17.44140625" style="5" customWidth="1" collapsed="1"/>
    <col min="12" max="12" width="16.77734375" style="5" hidden="1" customWidth="1" outlineLevel="1"/>
    <col min="13" max="13" width="7.44140625" style="5" hidden="1" customWidth="1" outlineLevel="1"/>
    <col min="14" max="14" width="17.44140625" style="5" bestFit="1" customWidth="1" collapsed="1"/>
    <col min="15" max="15" width="19.6640625" style="5" hidden="1" customWidth="1" outlineLevel="1"/>
    <col min="16" max="16" width="7.44140625" style="5" hidden="1" customWidth="1" outlineLevel="1"/>
    <col min="17" max="17" width="17.44140625" style="5" bestFit="1" customWidth="1" collapsed="1"/>
    <col min="18" max="18" width="16.77734375" style="5" hidden="1" customWidth="1" outlineLevel="1"/>
    <col min="19" max="19" width="7.44140625" style="5" hidden="1" customWidth="1" outlineLevel="1"/>
    <col min="20" max="20" width="17.44140625" style="5" bestFit="1" customWidth="1" collapsed="1"/>
    <col min="21" max="21" width="16.77734375" style="5" hidden="1" customWidth="1" outlineLevel="1"/>
    <col min="22" max="22" width="7.44140625" style="5" hidden="1" customWidth="1" outlineLevel="1"/>
    <col min="23" max="23" width="17.44140625" style="5" bestFit="1" customWidth="1" collapsed="1"/>
    <col min="24" max="24" width="16.77734375" style="5" hidden="1" customWidth="1" outlineLevel="1"/>
    <col min="25" max="25" width="7.44140625" style="5" hidden="1" customWidth="1" outlineLevel="1"/>
    <col min="26" max="26" width="17.44140625" style="5" bestFit="1" customWidth="1" collapsed="1"/>
    <col min="27" max="27" width="16.77734375" style="5" hidden="1" customWidth="1" outlineLevel="1"/>
    <col min="28" max="28" width="7.44140625" style="5" hidden="1" customWidth="1" outlineLevel="1"/>
    <col min="29" max="29" width="17.44140625" style="5" bestFit="1" customWidth="1" collapsed="1"/>
    <col min="30" max="30" width="16.77734375" style="5" hidden="1" customWidth="1" outlineLevel="1"/>
    <col min="31" max="31" width="7.44140625" style="5" hidden="1" customWidth="1" outlineLevel="1"/>
    <col min="32" max="32" width="17.44140625" style="5" bestFit="1" customWidth="1" collapsed="1"/>
    <col min="33" max="33" width="16.77734375" style="5" hidden="1" customWidth="1" outlineLevel="1"/>
    <col min="34" max="34" width="7.44140625" style="5" hidden="1" customWidth="1" outlineLevel="1"/>
    <col min="35" max="35" width="17.44140625" style="5" bestFit="1" customWidth="1" collapsed="1"/>
    <col min="36" max="36" width="16.77734375" style="5" hidden="1" customWidth="1" outlineLevel="1"/>
    <col min="37" max="37" width="7.44140625" style="5" hidden="1" customWidth="1" outlineLevel="1"/>
    <col min="38" max="38" width="17.44140625" style="5" bestFit="1" customWidth="1" collapsed="1"/>
    <col min="39" max="39" width="16.77734375" style="5" hidden="1" customWidth="1" outlineLevel="1"/>
    <col min="40" max="40" width="7.44140625" style="5" hidden="1" customWidth="1" outlineLevel="1"/>
    <col min="41" max="41" width="17.44140625" style="5" bestFit="1" customWidth="1" collapsed="1"/>
    <col min="42" max="42" width="16.77734375" style="5" customWidth="1" outlineLevel="1"/>
    <col min="43" max="43" width="7.44140625" style="5" customWidth="1" outlineLevel="1"/>
    <col min="44" max="44" width="17.44140625" style="5" bestFit="1" customWidth="1"/>
    <col min="45" max="45" width="16.77734375" style="5" hidden="1" customWidth="1" outlineLevel="1"/>
    <col min="46" max="46" width="7.44140625" style="5" hidden="1" customWidth="1" outlineLevel="1"/>
    <col min="47" max="47" width="17.44140625" style="5" bestFit="1" customWidth="1" collapsed="1"/>
    <col min="48" max="48" width="16.77734375" style="5" hidden="1" customWidth="1" outlineLevel="1"/>
    <col min="49" max="49" width="7.6640625" style="5" hidden="1" customWidth="1" outlineLevel="1"/>
    <col min="50" max="50" width="17.44140625" style="5" bestFit="1" customWidth="1" collapsed="1"/>
    <col min="51" max="51" width="16.77734375" style="5" hidden="1" customWidth="1" outlineLevel="1"/>
    <col min="52" max="52" width="7.44140625" style="5" hidden="1" customWidth="1" outlineLevel="1"/>
    <col min="53" max="53" width="17.44140625" style="5" bestFit="1" customWidth="1" collapsed="1"/>
    <col min="54" max="54" width="16.77734375" style="5" hidden="1" customWidth="1" outlineLevel="1"/>
    <col min="55" max="55" width="7.44140625" style="5" hidden="1" customWidth="1" outlineLevel="1"/>
    <col min="56" max="56" width="17.44140625" style="5" bestFit="1" customWidth="1" collapsed="1"/>
    <col min="57" max="57" width="16.77734375" style="5" hidden="1" customWidth="1" outlineLevel="1"/>
    <col min="58" max="58" width="7.44140625" style="5" hidden="1" customWidth="1" outlineLevel="1"/>
    <col min="59" max="59" width="17.44140625" style="5" bestFit="1" customWidth="1" collapsed="1"/>
    <col min="60" max="60" width="16.77734375" style="5" customWidth="1" outlineLevel="1"/>
    <col min="61" max="61" width="7.6640625" style="5" customWidth="1" outlineLevel="1"/>
    <col min="62" max="62" width="17.44140625" style="5" bestFit="1" customWidth="1"/>
    <col min="63" max="63" width="3.44140625" style="5" customWidth="1"/>
    <col min="64" max="64" width="12.6640625" style="5" bestFit="1" customWidth="1"/>
    <col min="65" max="16384" width="9.109375" style="5"/>
  </cols>
  <sheetData>
    <row r="1" spans="1:62" ht="2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58"/>
      <c r="BJ1" s="58"/>
    </row>
    <row r="2" spans="1:62" ht="19.95" hidden="1" customHeight="1" x14ac:dyDescent="0.25">
      <c r="A2" s="5"/>
      <c r="B2" s="1"/>
      <c r="C2" s="4"/>
      <c r="D2" s="4"/>
      <c r="E2" s="4"/>
      <c r="F2" s="41"/>
      <c r="G2" s="41"/>
      <c r="H2" s="41"/>
      <c r="I2" s="41"/>
      <c r="J2" s="41"/>
      <c r="K2" s="41"/>
      <c r="L2" s="41" t="s">
        <v>1</v>
      </c>
      <c r="M2" s="41"/>
      <c r="N2" s="41"/>
      <c r="O2" s="41" t="s">
        <v>2</v>
      </c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 t="s">
        <v>3</v>
      </c>
      <c r="AB2" s="41"/>
      <c r="AC2" s="41"/>
      <c r="AD2" s="41" t="s">
        <v>4</v>
      </c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"/>
      <c r="BI2" s="4"/>
      <c r="BJ2" s="4"/>
    </row>
    <row r="3" spans="1:62" ht="19.95" hidden="1" customHeight="1" x14ac:dyDescent="0.25">
      <c r="A3" s="5"/>
      <c r="B3" s="1"/>
      <c r="C3" s="4"/>
      <c r="D3" s="4"/>
      <c r="E3" s="4"/>
      <c r="F3" s="4" t="s">
        <v>5</v>
      </c>
      <c r="G3" s="4"/>
      <c r="H3" s="4"/>
      <c r="I3" s="4"/>
      <c r="J3" s="4"/>
      <c r="K3" s="4"/>
      <c r="L3" s="4" t="s">
        <v>6</v>
      </c>
      <c r="M3" s="4"/>
      <c r="N3" s="4"/>
      <c r="O3" s="4" t="s">
        <v>6</v>
      </c>
      <c r="P3" s="4"/>
      <c r="Q3" s="4"/>
      <c r="R3" s="4" t="s">
        <v>5</v>
      </c>
      <c r="S3" s="4"/>
      <c r="T3" s="4"/>
      <c r="U3" s="4" t="s">
        <v>5</v>
      </c>
      <c r="V3" s="4"/>
      <c r="W3" s="4"/>
      <c r="X3" s="4" t="s">
        <v>5</v>
      </c>
      <c r="Y3" s="4"/>
      <c r="Z3" s="4"/>
      <c r="AA3" s="4" t="s">
        <v>7</v>
      </c>
      <c r="AB3" s="4"/>
      <c r="AC3" s="4"/>
      <c r="AD3" s="4" t="s">
        <v>6</v>
      </c>
      <c r="AE3" s="4"/>
      <c r="AF3" s="4"/>
      <c r="AG3" s="4" t="s">
        <v>6</v>
      </c>
      <c r="AH3" s="4"/>
      <c r="AI3" s="4"/>
      <c r="AJ3" s="4" t="s">
        <v>6</v>
      </c>
      <c r="AK3" s="4"/>
      <c r="AL3" s="4"/>
      <c r="AM3" s="4" t="s">
        <v>6</v>
      </c>
      <c r="AN3" s="4"/>
      <c r="AO3" s="4"/>
      <c r="AP3" s="4" t="s">
        <v>6</v>
      </c>
      <c r="AQ3" s="4"/>
      <c r="AR3" s="4"/>
      <c r="AS3" s="4" t="s">
        <v>6</v>
      </c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ht="16.95" hidden="1" customHeight="1" x14ac:dyDescent="0.25">
      <c r="C4" s="6" t="s">
        <v>8</v>
      </c>
      <c r="D4" s="6"/>
      <c r="E4" s="6"/>
      <c r="F4" s="36" t="s">
        <v>9</v>
      </c>
      <c r="G4" s="36"/>
      <c r="H4" s="36"/>
      <c r="I4" s="36"/>
      <c r="J4" s="36"/>
      <c r="K4" s="36"/>
      <c r="L4" s="23" t="s">
        <v>10</v>
      </c>
      <c r="M4" s="23"/>
      <c r="N4" s="23"/>
      <c r="O4" s="22">
        <v>14</v>
      </c>
      <c r="P4" s="22"/>
      <c r="Q4" s="22"/>
      <c r="R4" s="36" t="s">
        <v>11</v>
      </c>
      <c r="S4" s="36"/>
      <c r="T4" s="36"/>
      <c r="U4" s="36" t="s">
        <v>12</v>
      </c>
      <c r="V4" s="36"/>
      <c r="W4" s="36"/>
      <c r="X4" s="36" t="s">
        <v>13</v>
      </c>
      <c r="Y4" s="36"/>
      <c r="Z4" s="36"/>
      <c r="AA4" s="40">
        <v>29</v>
      </c>
      <c r="AB4" s="40"/>
      <c r="AC4" s="40"/>
      <c r="AD4" s="23" t="s">
        <v>14</v>
      </c>
      <c r="AE4" s="23"/>
      <c r="AF4" s="23"/>
      <c r="AG4" s="23" t="s">
        <v>15</v>
      </c>
      <c r="AH4" s="23"/>
      <c r="AI4" s="23"/>
      <c r="AJ4" s="23" t="s">
        <v>16</v>
      </c>
      <c r="AK4" s="23"/>
      <c r="AL4" s="23"/>
      <c r="AM4" s="22">
        <v>34</v>
      </c>
      <c r="AN4" s="22"/>
      <c r="AO4" s="22"/>
      <c r="AP4" s="22">
        <v>35</v>
      </c>
      <c r="AQ4" s="22"/>
      <c r="AR4" s="22"/>
      <c r="AS4" s="22">
        <v>36</v>
      </c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7"/>
      <c r="BI4" s="7"/>
      <c r="BJ4" s="7"/>
    </row>
    <row r="5" spans="1:62" ht="9.3000000000000007" hidden="1" customHeight="1" x14ac:dyDescent="0.25">
      <c r="A5" s="3"/>
      <c r="B5" s="3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46">
        <v>45931</v>
      </c>
      <c r="S5" s="46"/>
      <c r="T5" s="46"/>
      <c r="U5" s="46">
        <v>45931</v>
      </c>
      <c r="V5" s="46"/>
      <c r="W5" s="46"/>
      <c r="X5" s="46">
        <v>45748</v>
      </c>
      <c r="Y5" s="46"/>
      <c r="Z5" s="46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</row>
    <row r="6" spans="1:62" s="43" customFormat="1" ht="12.45" customHeight="1" x14ac:dyDescent="0.25">
      <c r="A6" s="73" t="s">
        <v>17</v>
      </c>
      <c r="B6" s="42"/>
      <c r="C6" s="75" t="s">
        <v>18</v>
      </c>
      <c r="D6" s="76"/>
      <c r="E6" s="77"/>
      <c r="F6" s="75" t="s">
        <v>19</v>
      </c>
      <c r="G6" s="76"/>
      <c r="H6" s="77"/>
      <c r="I6" s="75" t="s">
        <v>20</v>
      </c>
      <c r="J6" s="76"/>
      <c r="K6" s="77"/>
      <c r="L6" s="75" t="s">
        <v>21</v>
      </c>
      <c r="M6" s="76"/>
      <c r="N6" s="77"/>
      <c r="O6" s="75" t="s">
        <v>22</v>
      </c>
      <c r="P6" s="76"/>
      <c r="Q6" s="77"/>
      <c r="R6" s="76" t="s">
        <v>23</v>
      </c>
      <c r="S6" s="76"/>
      <c r="T6" s="77"/>
      <c r="U6" s="75" t="s">
        <v>24</v>
      </c>
      <c r="V6" s="76"/>
      <c r="W6" s="77"/>
      <c r="X6" s="75" t="s">
        <v>25</v>
      </c>
      <c r="Y6" s="76"/>
      <c r="Z6" s="77"/>
      <c r="AA6" s="75" t="s">
        <v>26</v>
      </c>
      <c r="AB6" s="76"/>
      <c r="AC6" s="77"/>
      <c r="AD6" s="75" t="s">
        <v>27</v>
      </c>
      <c r="AE6" s="76"/>
      <c r="AF6" s="77"/>
      <c r="AG6" s="76" t="s">
        <v>28</v>
      </c>
      <c r="AH6" s="76"/>
      <c r="AI6" s="77"/>
      <c r="AJ6" s="75" t="s">
        <v>29</v>
      </c>
      <c r="AK6" s="76"/>
      <c r="AL6" s="77"/>
      <c r="AM6" s="75" t="s">
        <v>30</v>
      </c>
      <c r="AN6" s="76"/>
      <c r="AO6" s="77"/>
      <c r="AP6" s="78" t="s">
        <v>31</v>
      </c>
      <c r="AQ6" s="79"/>
      <c r="AR6" s="80"/>
      <c r="AS6" s="75" t="s">
        <v>32</v>
      </c>
      <c r="AT6" s="76"/>
      <c r="AU6" s="77"/>
      <c r="AV6" s="78" t="s">
        <v>33</v>
      </c>
      <c r="AW6" s="79"/>
      <c r="AX6" s="80"/>
      <c r="AY6" s="78" t="s">
        <v>34</v>
      </c>
      <c r="AZ6" s="79"/>
      <c r="BA6" s="80"/>
      <c r="BB6" s="78" t="s">
        <v>35</v>
      </c>
      <c r="BC6" s="79"/>
      <c r="BD6" s="80"/>
      <c r="BE6" s="78" t="s">
        <v>36</v>
      </c>
      <c r="BF6" s="79"/>
      <c r="BG6" s="80"/>
      <c r="BH6" s="78" t="s">
        <v>37</v>
      </c>
      <c r="BI6" s="79"/>
      <c r="BJ6" s="80"/>
    </row>
    <row r="7" spans="1:62" s="43" customFormat="1" ht="12.45" customHeight="1" x14ac:dyDescent="0.25">
      <c r="A7" s="42"/>
      <c r="B7" s="42"/>
      <c r="C7" s="59" t="s">
        <v>38</v>
      </c>
      <c r="D7" s="59" t="s">
        <v>39</v>
      </c>
      <c r="E7" s="59" t="s">
        <v>40</v>
      </c>
      <c r="F7" s="59" t="s">
        <v>38</v>
      </c>
      <c r="G7" s="59" t="s">
        <v>39</v>
      </c>
      <c r="H7" s="59" t="s">
        <v>40</v>
      </c>
      <c r="I7" s="59" t="s">
        <v>38</v>
      </c>
      <c r="J7" s="59" t="s">
        <v>39</v>
      </c>
      <c r="K7" s="59" t="s">
        <v>40</v>
      </c>
      <c r="L7" s="59" t="s">
        <v>38</v>
      </c>
      <c r="M7" s="59" t="s">
        <v>39</v>
      </c>
      <c r="N7" s="59" t="s">
        <v>40</v>
      </c>
      <c r="O7" s="59" t="s">
        <v>38</v>
      </c>
      <c r="P7" s="59" t="s">
        <v>39</v>
      </c>
      <c r="Q7" s="59" t="s">
        <v>40</v>
      </c>
      <c r="R7" s="59" t="s">
        <v>38</v>
      </c>
      <c r="S7" s="59" t="s">
        <v>39</v>
      </c>
      <c r="T7" s="59" t="s">
        <v>40</v>
      </c>
      <c r="U7" s="59" t="s">
        <v>38</v>
      </c>
      <c r="V7" s="59" t="s">
        <v>39</v>
      </c>
      <c r="W7" s="59" t="s">
        <v>40</v>
      </c>
      <c r="X7" s="59" t="s">
        <v>38</v>
      </c>
      <c r="Y7" s="59" t="s">
        <v>39</v>
      </c>
      <c r="Z7" s="59" t="s">
        <v>40</v>
      </c>
      <c r="AA7" s="59" t="s">
        <v>38</v>
      </c>
      <c r="AB7" s="59" t="s">
        <v>39</v>
      </c>
      <c r="AC7" s="59" t="s">
        <v>40</v>
      </c>
      <c r="AD7" s="59" t="s">
        <v>38</v>
      </c>
      <c r="AE7" s="59" t="s">
        <v>39</v>
      </c>
      <c r="AF7" s="59" t="s">
        <v>40</v>
      </c>
      <c r="AG7" s="59" t="s">
        <v>38</v>
      </c>
      <c r="AH7" s="59" t="s">
        <v>39</v>
      </c>
      <c r="AI7" s="59" t="s">
        <v>40</v>
      </c>
      <c r="AJ7" s="59" t="s">
        <v>38</v>
      </c>
      <c r="AK7" s="59" t="s">
        <v>39</v>
      </c>
      <c r="AL7" s="59" t="s">
        <v>40</v>
      </c>
      <c r="AM7" s="59" t="s">
        <v>38</v>
      </c>
      <c r="AN7" s="59" t="s">
        <v>39</v>
      </c>
      <c r="AO7" s="59" t="s">
        <v>40</v>
      </c>
      <c r="AP7" s="59" t="s">
        <v>38</v>
      </c>
      <c r="AQ7" s="59" t="s">
        <v>39</v>
      </c>
      <c r="AR7" s="59" t="s">
        <v>40</v>
      </c>
      <c r="AS7" s="59" t="s">
        <v>38</v>
      </c>
      <c r="AT7" s="59" t="s">
        <v>39</v>
      </c>
      <c r="AU7" s="59" t="s">
        <v>40</v>
      </c>
      <c r="AV7" s="59" t="s">
        <v>38</v>
      </c>
      <c r="AW7" s="59" t="s">
        <v>39</v>
      </c>
      <c r="AX7" s="59" t="s">
        <v>40</v>
      </c>
      <c r="AY7" s="59" t="s">
        <v>38</v>
      </c>
      <c r="AZ7" s="59" t="s">
        <v>39</v>
      </c>
      <c r="BA7" s="59" t="s">
        <v>40</v>
      </c>
      <c r="BB7" s="59" t="s">
        <v>38</v>
      </c>
      <c r="BC7" s="59" t="s">
        <v>39</v>
      </c>
      <c r="BD7" s="59" t="s">
        <v>40</v>
      </c>
      <c r="BE7" s="59" t="s">
        <v>38</v>
      </c>
      <c r="BF7" s="59" t="s">
        <v>39</v>
      </c>
      <c r="BG7" s="59" t="s">
        <v>40</v>
      </c>
      <c r="BH7" s="59" t="s">
        <v>38</v>
      </c>
      <c r="BI7" s="59" t="s">
        <v>39</v>
      </c>
      <c r="BJ7" s="59" t="s">
        <v>40</v>
      </c>
    </row>
    <row r="8" spans="1:62" ht="13.2" customHeight="1" x14ac:dyDescent="0.25">
      <c r="A8" s="2" t="s">
        <v>41</v>
      </c>
      <c r="B8" s="2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</row>
    <row r="9" spans="1:62" ht="13.2" customHeight="1" x14ac:dyDescent="0.25">
      <c r="A9" s="3" t="s">
        <v>42</v>
      </c>
      <c r="B9" s="3"/>
      <c r="C9" s="65">
        <v>0</v>
      </c>
      <c r="D9" s="65">
        <v>0</v>
      </c>
      <c r="E9" s="65">
        <f>C9+D9</f>
        <v>0</v>
      </c>
      <c r="F9" s="65">
        <v>902215.12</v>
      </c>
      <c r="G9" s="65">
        <v>0</v>
      </c>
      <c r="H9" s="65">
        <f>F9+G9</f>
        <v>902215.12</v>
      </c>
      <c r="I9" s="65">
        <v>736758.51</v>
      </c>
      <c r="J9" s="65">
        <v>0</v>
      </c>
      <c r="K9" s="65">
        <f>I9+J9</f>
        <v>736758.51</v>
      </c>
      <c r="L9" s="65">
        <v>578251.47</v>
      </c>
      <c r="M9" s="65">
        <v>0</v>
      </c>
      <c r="N9" s="65">
        <f>L9+M9</f>
        <v>578251.47</v>
      </c>
      <c r="O9" s="65">
        <v>119153.76000000001</v>
      </c>
      <c r="P9" s="65">
        <v>0</v>
      </c>
      <c r="Q9" s="65">
        <f>O9+P9</f>
        <v>119153.76000000001</v>
      </c>
      <c r="R9" s="65">
        <v>1182284.5999999999</v>
      </c>
      <c r="S9" s="65">
        <v>0</v>
      </c>
      <c r="T9" s="65">
        <f>R9+S9</f>
        <v>1182284.5999999999</v>
      </c>
      <c r="U9" s="65">
        <v>1559174.4000000001</v>
      </c>
      <c r="V9" s="65">
        <v>0</v>
      </c>
      <c r="W9" s="65">
        <f>U9+V9</f>
        <v>1559174.4000000001</v>
      </c>
      <c r="X9" s="65">
        <v>1448268.8</v>
      </c>
      <c r="Y9" s="65">
        <v>0</v>
      </c>
      <c r="Z9" s="65">
        <f>X9+Y9</f>
        <v>1448268.8</v>
      </c>
      <c r="AA9" s="65">
        <f>+AA50</f>
        <v>3472558.59</v>
      </c>
      <c r="AB9" s="65">
        <v>0</v>
      </c>
      <c r="AC9" s="65">
        <f>AA9+AB9</f>
        <v>3472558.59</v>
      </c>
      <c r="AD9" s="65">
        <v>1089769</v>
      </c>
      <c r="AE9" s="65">
        <v>0</v>
      </c>
      <c r="AF9" s="65">
        <f>AD9+AE9</f>
        <v>1089769</v>
      </c>
      <c r="AG9" s="65">
        <v>281424.99</v>
      </c>
      <c r="AH9" s="65">
        <v>0</v>
      </c>
      <c r="AI9" s="65">
        <f>AG9+AH9</f>
        <v>281424.99</v>
      </c>
      <c r="AJ9" s="65">
        <v>666666.67000000004</v>
      </c>
      <c r="AK9" s="65">
        <v>0</v>
      </c>
      <c r="AL9" s="65">
        <f>AJ9+AK9</f>
        <v>666666.67000000004</v>
      </c>
      <c r="AM9" s="65">
        <v>508241.66</v>
      </c>
      <c r="AN9" s="65">
        <v>0</v>
      </c>
      <c r="AO9" s="65">
        <f>AM9+AN9</f>
        <v>508241.66</v>
      </c>
      <c r="AP9" s="65">
        <v>4662067.9899999993</v>
      </c>
      <c r="AQ9" s="65">
        <v>345000</v>
      </c>
      <c r="AR9" s="65">
        <f>AP9+AQ9</f>
        <v>5007067.9899999993</v>
      </c>
      <c r="AS9" s="65">
        <v>282417.7</v>
      </c>
      <c r="AT9" s="65">
        <v>0</v>
      </c>
      <c r="AU9" s="65">
        <f>AS9+AT9</f>
        <v>282417.7</v>
      </c>
      <c r="AV9" s="65">
        <v>0</v>
      </c>
      <c r="AW9" s="65">
        <v>1638437</v>
      </c>
      <c r="AX9" s="65">
        <f>AV9+AW9</f>
        <v>1638437</v>
      </c>
      <c r="AY9" s="65">
        <v>0</v>
      </c>
      <c r="AZ9" s="65">
        <f>214750/15*9</f>
        <v>128850</v>
      </c>
      <c r="BA9" s="65">
        <f>AY9+AZ9</f>
        <v>128850</v>
      </c>
      <c r="BB9" s="65">
        <v>0</v>
      </c>
      <c r="BC9" s="65">
        <v>49950</v>
      </c>
      <c r="BD9" s="65">
        <f>BB9+BC9</f>
        <v>49950</v>
      </c>
      <c r="BE9" s="65">
        <v>0</v>
      </c>
      <c r="BF9" s="65">
        <v>250000</v>
      </c>
      <c r="BG9" s="65">
        <f>BE9+BF9</f>
        <v>250000</v>
      </c>
      <c r="BH9" s="65">
        <f t="shared" ref="BH9:BJ11" si="0">C9+F9+I9+L9+O9+R9+U9+X9+AA9+AD9+AG9+AJ9+AM9+AP9+AS9+AV9+AY9+BB9+BE9</f>
        <v>17489253.259999998</v>
      </c>
      <c r="BI9" s="65">
        <f t="shared" si="0"/>
        <v>2412237</v>
      </c>
      <c r="BJ9" s="65">
        <f t="shared" si="0"/>
        <v>19901490.259999998</v>
      </c>
    </row>
    <row r="10" spans="1:62" ht="13.2" customHeight="1" x14ac:dyDescent="0.25">
      <c r="A10" s="3" t="s">
        <v>43</v>
      </c>
      <c r="B10" s="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150000</v>
      </c>
      <c r="S10" s="65">
        <v>0</v>
      </c>
      <c r="T10" s="65">
        <f t="shared" ref="T10:T11" si="1">R10+S10</f>
        <v>150000</v>
      </c>
      <c r="U10" s="65">
        <v>50000</v>
      </c>
      <c r="V10" s="65">
        <v>0</v>
      </c>
      <c r="W10" s="65">
        <f t="shared" ref="W10:W11" si="2">U10+V10</f>
        <v>50000</v>
      </c>
      <c r="X10" s="65">
        <v>500000</v>
      </c>
      <c r="Y10" s="65">
        <v>0</v>
      </c>
      <c r="Z10" s="65">
        <f t="shared" ref="Z10:Z11" si="3">X10+Y10</f>
        <v>500000</v>
      </c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>
        <f t="shared" si="0"/>
        <v>700000</v>
      </c>
      <c r="BI10" s="65">
        <f t="shared" si="0"/>
        <v>0</v>
      </c>
      <c r="BJ10" s="65">
        <f t="shared" si="0"/>
        <v>700000</v>
      </c>
    </row>
    <row r="11" spans="1:62" ht="13.2" customHeight="1" x14ac:dyDescent="0.25">
      <c r="A11" s="3" t="s">
        <v>44</v>
      </c>
      <c r="B11" s="3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558308</v>
      </c>
      <c r="S11" s="65">
        <v>0</v>
      </c>
      <c r="T11" s="65">
        <f t="shared" si="1"/>
        <v>558308</v>
      </c>
      <c r="U11" s="65">
        <v>-48425</v>
      </c>
      <c r="V11" s="65">
        <v>0</v>
      </c>
      <c r="W11" s="65">
        <f t="shared" si="2"/>
        <v>-48425</v>
      </c>
      <c r="X11" s="65">
        <v>242169</v>
      </c>
      <c r="Y11" s="65">
        <v>0</v>
      </c>
      <c r="Z11" s="65">
        <f t="shared" si="3"/>
        <v>242169</v>
      </c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>
        <f t="shared" si="0"/>
        <v>752052</v>
      </c>
      <c r="BI11" s="65">
        <f t="shared" si="0"/>
        <v>0</v>
      </c>
      <c r="BJ11" s="65">
        <f t="shared" si="0"/>
        <v>752052</v>
      </c>
    </row>
    <row r="12" spans="1:62" ht="12" customHeight="1" x14ac:dyDescent="0.25">
      <c r="A12" s="2" t="s">
        <v>45</v>
      </c>
      <c r="B12" s="2"/>
      <c r="C12" s="66">
        <f t="shared" ref="C12:BJ12" si="4">SUM(C9:C11)</f>
        <v>0</v>
      </c>
      <c r="D12" s="66">
        <f t="shared" si="4"/>
        <v>0</v>
      </c>
      <c r="E12" s="66">
        <f t="shared" si="4"/>
        <v>0</v>
      </c>
      <c r="F12" s="66">
        <v>902215.12</v>
      </c>
      <c r="G12" s="66">
        <f t="shared" si="4"/>
        <v>0</v>
      </c>
      <c r="H12" s="66">
        <f t="shared" si="4"/>
        <v>902215.12</v>
      </c>
      <c r="I12" s="66">
        <v>736758.51</v>
      </c>
      <c r="J12" s="66">
        <f t="shared" si="4"/>
        <v>0</v>
      </c>
      <c r="K12" s="66">
        <f t="shared" si="4"/>
        <v>736758.51</v>
      </c>
      <c r="L12" s="66">
        <v>578251.47</v>
      </c>
      <c r="M12" s="66">
        <f t="shared" si="4"/>
        <v>0</v>
      </c>
      <c r="N12" s="66">
        <f t="shared" si="4"/>
        <v>578251.47</v>
      </c>
      <c r="O12" s="66">
        <v>119153.76000000001</v>
      </c>
      <c r="P12" s="66">
        <f t="shared" si="4"/>
        <v>0</v>
      </c>
      <c r="Q12" s="66">
        <f t="shared" si="4"/>
        <v>119153.76000000001</v>
      </c>
      <c r="R12" s="66">
        <f t="shared" si="4"/>
        <v>1890592.5999999999</v>
      </c>
      <c r="S12" s="66">
        <f t="shared" si="4"/>
        <v>0</v>
      </c>
      <c r="T12" s="66">
        <f t="shared" si="4"/>
        <v>1890592.5999999999</v>
      </c>
      <c r="U12" s="66">
        <f t="shared" si="4"/>
        <v>1560749.4000000001</v>
      </c>
      <c r="V12" s="66">
        <f t="shared" si="4"/>
        <v>0</v>
      </c>
      <c r="W12" s="66">
        <f t="shared" si="4"/>
        <v>1560749.4000000001</v>
      </c>
      <c r="X12" s="66">
        <f t="shared" si="4"/>
        <v>2190437.7999999998</v>
      </c>
      <c r="Y12" s="66">
        <f t="shared" si="4"/>
        <v>0</v>
      </c>
      <c r="Z12" s="66">
        <f t="shared" si="4"/>
        <v>2190437.7999999998</v>
      </c>
      <c r="AA12" s="66">
        <f t="shared" si="4"/>
        <v>3472558.59</v>
      </c>
      <c r="AB12" s="66">
        <f t="shared" si="4"/>
        <v>0</v>
      </c>
      <c r="AC12" s="66">
        <f t="shared" si="4"/>
        <v>3472558.59</v>
      </c>
      <c r="AD12" s="66">
        <f t="shared" si="4"/>
        <v>1089769</v>
      </c>
      <c r="AE12" s="66">
        <f t="shared" si="4"/>
        <v>0</v>
      </c>
      <c r="AF12" s="66">
        <f t="shared" si="4"/>
        <v>1089769</v>
      </c>
      <c r="AG12" s="66">
        <v>281424.99</v>
      </c>
      <c r="AH12" s="66">
        <f t="shared" si="4"/>
        <v>0</v>
      </c>
      <c r="AI12" s="66">
        <f t="shared" si="4"/>
        <v>281424.99</v>
      </c>
      <c r="AJ12" s="66">
        <f t="shared" si="4"/>
        <v>666666.67000000004</v>
      </c>
      <c r="AK12" s="66">
        <f t="shared" si="4"/>
        <v>0</v>
      </c>
      <c r="AL12" s="66">
        <f t="shared" si="4"/>
        <v>666666.67000000004</v>
      </c>
      <c r="AM12" s="66">
        <f t="shared" si="4"/>
        <v>508241.66</v>
      </c>
      <c r="AN12" s="66">
        <f t="shared" si="4"/>
        <v>0</v>
      </c>
      <c r="AO12" s="66">
        <f t="shared" si="4"/>
        <v>508241.66</v>
      </c>
      <c r="AP12" s="66">
        <f t="shared" si="4"/>
        <v>4662067.9899999993</v>
      </c>
      <c r="AQ12" s="66">
        <f t="shared" si="4"/>
        <v>345000</v>
      </c>
      <c r="AR12" s="66">
        <f t="shared" si="4"/>
        <v>5007067.9899999993</v>
      </c>
      <c r="AS12" s="66">
        <f t="shared" si="4"/>
        <v>282417.7</v>
      </c>
      <c r="AT12" s="66">
        <f t="shared" si="4"/>
        <v>0</v>
      </c>
      <c r="AU12" s="66">
        <f t="shared" si="4"/>
        <v>282417.7</v>
      </c>
      <c r="AV12" s="66">
        <f t="shared" ref="AV12:BG12" si="5">SUM(AV8:AV11)</f>
        <v>0</v>
      </c>
      <c r="AW12" s="66">
        <f t="shared" si="5"/>
        <v>1638437</v>
      </c>
      <c r="AX12" s="66">
        <f t="shared" si="5"/>
        <v>1638437</v>
      </c>
      <c r="AY12" s="66">
        <f t="shared" si="5"/>
        <v>0</v>
      </c>
      <c r="AZ12" s="66">
        <f t="shared" si="5"/>
        <v>128850</v>
      </c>
      <c r="BA12" s="66">
        <f t="shared" si="5"/>
        <v>128850</v>
      </c>
      <c r="BB12" s="66">
        <f t="shared" si="5"/>
        <v>0</v>
      </c>
      <c r="BC12" s="66">
        <f t="shared" si="5"/>
        <v>49950</v>
      </c>
      <c r="BD12" s="66">
        <f t="shared" si="5"/>
        <v>49950</v>
      </c>
      <c r="BE12" s="66">
        <f t="shared" si="5"/>
        <v>0</v>
      </c>
      <c r="BF12" s="66">
        <f t="shared" si="5"/>
        <v>250000</v>
      </c>
      <c r="BG12" s="66">
        <f t="shared" si="5"/>
        <v>250000</v>
      </c>
      <c r="BH12" s="66">
        <f>SUM(BH9:BH11)</f>
        <v>18941305.259999998</v>
      </c>
      <c r="BI12" s="66">
        <f t="shared" si="4"/>
        <v>2412237</v>
      </c>
      <c r="BJ12" s="66">
        <f t="shared" si="4"/>
        <v>21353542.259999998</v>
      </c>
    </row>
    <row r="13" spans="1:62" ht="13.2" hidden="1" customHeight="1" x14ac:dyDescent="0.25">
      <c r="C13" s="64"/>
      <c r="D13" s="64"/>
      <c r="E13" s="64"/>
      <c r="F13" s="64"/>
      <c r="G13" s="64">
        <f>G12/F12</f>
        <v>0</v>
      </c>
      <c r="H13" s="64"/>
      <c r="I13" s="64"/>
      <c r="J13" s="64">
        <f>J12/I12</f>
        <v>0</v>
      </c>
      <c r="K13" s="64"/>
      <c r="L13" s="64"/>
      <c r="M13" s="64">
        <f>M12/L12</f>
        <v>0</v>
      </c>
      <c r="N13" s="64"/>
      <c r="O13" s="64"/>
      <c r="P13" s="64">
        <f>P12/O12</f>
        <v>0</v>
      </c>
      <c r="Q13" s="64"/>
      <c r="R13" s="64" t="s">
        <v>46</v>
      </c>
      <c r="S13" s="64"/>
      <c r="T13" s="64"/>
      <c r="U13" s="64" t="s">
        <v>46</v>
      </c>
      <c r="V13" s="64"/>
      <c r="W13" s="64"/>
      <c r="X13" s="64" t="s">
        <v>46</v>
      </c>
      <c r="Y13" s="64"/>
      <c r="Z13" s="64"/>
      <c r="AA13" s="64"/>
      <c r="AB13" s="64"/>
      <c r="AC13" s="64"/>
      <c r="AD13" s="64"/>
      <c r="AE13" s="64"/>
      <c r="AF13" s="64"/>
      <c r="AG13" s="64"/>
      <c r="AH13" s="64">
        <f>AH12/AG12</f>
        <v>0</v>
      </c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5"/>
      <c r="BI13" s="65"/>
      <c r="BJ13" s="65"/>
    </row>
    <row r="14" spans="1:62" ht="13.2" customHeight="1" x14ac:dyDescent="0.25"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5"/>
      <c r="BI14" s="65"/>
      <c r="BJ14" s="65"/>
    </row>
    <row r="15" spans="1:62" ht="13.2" customHeight="1" x14ac:dyDescent="0.25">
      <c r="A15" s="2" t="s">
        <v>47</v>
      </c>
      <c r="B15" s="2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 t="s">
        <v>46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5"/>
      <c r="BI15" s="65"/>
      <c r="BJ15" s="65"/>
    </row>
    <row r="16" spans="1:62" ht="13.2" customHeight="1" outlineLevel="1" x14ac:dyDescent="0.25">
      <c r="A16" s="3" t="s">
        <v>48</v>
      </c>
      <c r="B16" s="3"/>
      <c r="C16" s="65">
        <f>+Budget!C73-Budget!C72</f>
        <v>1025478.6200000006</v>
      </c>
      <c r="D16" s="65">
        <v>0</v>
      </c>
      <c r="E16" s="65">
        <f>C16+D16</f>
        <v>1025478.6200000006</v>
      </c>
      <c r="F16" s="65">
        <v>81199.687917482108</v>
      </c>
      <c r="G16" s="65">
        <f>F16*G$13</f>
        <v>0</v>
      </c>
      <c r="H16" s="65">
        <f>F16+G16</f>
        <v>81199.687917482108</v>
      </c>
      <c r="I16" s="67">
        <v>197693.68366380743</v>
      </c>
      <c r="J16" s="65">
        <f>I16*J$13</f>
        <v>0</v>
      </c>
      <c r="K16" s="65">
        <f>I16+J16</f>
        <v>197693.68366380743</v>
      </c>
      <c r="L16" s="65">
        <v>38817.550925879303</v>
      </c>
      <c r="M16" s="65">
        <f>L16*M$13</f>
        <v>0</v>
      </c>
      <c r="N16" s="65">
        <f>L16+M16</f>
        <v>38817.550925879303</v>
      </c>
      <c r="O16" s="65">
        <v>7936.8796151039996</v>
      </c>
      <c r="P16" s="65">
        <f>O16*P$13</f>
        <v>0</v>
      </c>
      <c r="Q16" s="65">
        <f>O16+P16</f>
        <v>7936.8796151039996</v>
      </c>
      <c r="R16" s="65">
        <v>0</v>
      </c>
      <c r="S16" s="65">
        <v>0</v>
      </c>
      <c r="T16" s="65">
        <f>R16+S16</f>
        <v>0</v>
      </c>
      <c r="U16" s="65">
        <v>0</v>
      </c>
      <c r="V16" s="65">
        <v>0</v>
      </c>
      <c r="W16" s="65">
        <f>U16+V16</f>
        <v>0</v>
      </c>
      <c r="X16" s="65">
        <v>0</v>
      </c>
      <c r="Y16" s="65">
        <v>0</v>
      </c>
      <c r="Z16" s="65">
        <f>X16+Y16</f>
        <v>0</v>
      </c>
      <c r="AA16" s="65">
        <v>634879.19999999995</v>
      </c>
      <c r="AB16" s="65">
        <v>0</v>
      </c>
      <c r="AC16" s="65">
        <f>AA16+AB16</f>
        <v>634879.19999999995</v>
      </c>
      <c r="AD16" s="65">
        <v>287438</v>
      </c>
      <c r="AE16" s="65">
        <v>0</v>
      </c>
      <c r="AF16" s="65">
        <f>AD16+AE16</f>
        <v>287438</v>
      </c>
      <c r="AG16" s="65">
        <v>54680.445031472293</v>
      </c>
      <c r="AH16" s="65">
        <f>AG16*AH$13</f>
        <v>0</v>
      </c>
      <c r="AI16" s="65">
        <f>AG16+AH16</f>
        <v>54680.445031472293</v>
      </c>
      <c r="AJ16" s="65">
        <v>173333.33</v>
      </c>
      <c r="AK16" s="65">
        <v>0</v>
      </c>
      <c r="AL16" s="65">
        <f>AJ16+AK16</f>
        <v>173333.33</v>
      </c>
      <c r="AM16" s="65">
        <v>290915.63</v>
      </c>
      <c r="AN16" s="65">
        <v>0</v>
      </c>
      <c r="AO16" s="65">
        <f>AM16+AN16</f>
        <v>290915.63</v>
      </c>
      <c r="AP16" s="65"/>
      <c r="AQ16" s="65"/>
      <c r="AR16" s="65"/>
      <c r="AS16" s="65">
        <v>85490.13</v>
      </c>
      <c r="AT16" s="65">
        <v>0</v>
      </c>
      <c r="AU16" s="65">
        <f>AS16+AT16</f>
        <v>85490.13</v>
      </c>
      <c r="AV16" s="65"/>
      <c r="AW16" s="65"/>
      <c r="AX16" s="65"/>
      <c r="AY16" s="49"/>
      <c r="AZ16" s="65"/>
      <c r="BA16" s="65"/>
      <c r="BB16" s="65">
        <v>0</v>
      </c>
      <c r="BC16" s="65">
        <v>9250</v>
      </c>
      <c r="BD16" s="65">
        <f>BB16+BC16</f>
        <v>9250</v>
      </c>
      <c r="BE16" s="65"/>
      <c r="BF16" s="65"/>
      <c r="BG16" s="65"/>
      <c r="BH16" s="65">
        <f t="shared" ref="BH16:BJ19" si="6">C16+F16+I16+L16+O16+R16+U16+X16+AA16+AD16+AG16+AJ16+AM16+AP16+AS16+AV16+AY16+BB16+BE16</f>
        <v>2877863.1571537456</v>
      </c>
      <c r="BI16" s="65">
        <f t="shared" si="6"/>
        <v>9250</v>
      </c>
      <c r="BJ16" s="65">
        <f t="shared" si="6"/>
        <v>2887113.1571537456</v>
      </c>
    </row>
    <row r="17" spans="1:62" ht="13.2" customHeight="1" outlineLevel="1" x14ac:dyDescent="0.25">
      <c r="A17" s="3" t="s">
        <v>49</v>
      </c>
      <c r="B17" s="3"/>
      <c r="C17" s="65">
        <v>218723.04470000011</v>
      </c>
      <c r="D17" s="65">
        <v>0</v>
      </c>
      <c r="E17" s="65">
        <f t="shared" ref="E17:E49" si="7">C17+D17</f>
        <v>218723.04470000011</v>
      </c>
      <c r="F17" s="65"/>
      <c r="G17" s="65"/>
      <c r="H17" s="65"/>
      <c r="I17" s="68"/>
      <c r="J17" s="65"/>
      <c r="K17" s="65"/>
      <c r="L17" s="65">
        <v>18632.424444422068</v>
      </c>
      <c r="M17" s="65">
        <f t="shared" ref="M17:M49" si="8">L17*M$13</f>
        <v>0</v>
      </c>
      <c r="N17" s="65">
        <f t="shared" ref="N17:N49" si="9">L17+M17</f>
        <v>18632.424444422068</v>
      </c>
      <c r="O17" s="65">
        <v>1468.3174860288</v>
      </c>
      <c r="P17" s="65">
        <f t="shared" ref="P17:P49" si="10">O17*P$13</f>
        <v>0</v>
      </c>
      <c r="Q17" s="65">
        <f t="shared" ref="Q17:Q49" si="11">O17+P17</f>
        <v>1468.3174860288</v>
      </c>
      <c r="R17" s="65">
        <v>0</v>
      </c>
      <c r="S17" s="65">
        <v>0</v>
      </c>
      <c r="T17" s="65">
        <f t="shared" ref="T17:T49" si="12">R17+S17</f>
        <v>0</v>
      </c>
      <c r="U17" s="65">
        <v>0</v>
      </c>
      <c r="V17" s="65">
        <v>0</v>
      </c>
      <c r="W17" s="65">
        <f t="shared" ref="W17:W49" si="13">U17+V17</f>
        <v>0</v>
      </c>
      <c r="X17" s="65">
        <v>0</v>
      </c>
      <c r="Y17" s="65">
        <v>0</v>
      </c>
      <c r="Z17" s="65">
        <f t="shared" ref="Z17:Z49" si="14">X17+Y17</f>
        <v>0</v>
      </c>
      <c r="AA17" s="65">
        <v>304742.02</v>
      </c>
      <c r="AB17" s="65">
        <v>0</v>
      </c>
      <c r="AC17" s="65">
        <f t="shared" ref="AC17:AC49" si="15">AA17+AB17</f>
        <v>304742.02</v>
      </c>
      <c r="AD17" s="65">
        <v>137970</v>
      </c>
      <c r="AE17" s="65">
        <v>0</v>
      </c>
      <c r="AF17" s="65">
        <f t="shared" ref="AF17:AF49" si="16">AD17+AE17</f>
        <v>137970</v>
      </c>
      <c r="AG17" s="65">
        <v>10115.87635050378</v>
      </c>
      <c r="AH17" s="65">
        <f t="shared" ref="AH17:AH49" si="17">AG17*AH$13</f>
        <v>0</v>
      </c>
      <c r="AI17" s="65">
        <f t="shared" ref="AI17:AI49" si="18">AG17+AH17</f>
        <v>10115.87635050378</v>
      </c>
      <c r="AJ17" s="65">
        <v>83200</v>
      </c>
      <c r="AK17" s="65">
        <v>0</v>
      </c>
      <c r="AL17" s="65">
        <f t="shared" ref="AL17:AL49" si="19">AJ17+AK17</f>
        <v>83200</v>
      </c>
      <c r="AM17" s="65">
        <v>139639.5</v>
      </c>
      <c r="AN17" s="65">
        <v>0</v>
      </c>
      <c r="AO17" s="65">
        <f t="shared" ref="AO17:AO49" si="20">AM17+AN17</f>
        <v>139639.5</v>
      </c>
      <c r="AP17" s="65"/>
      <c r="AQ17" s="65"/>
      <c r="AR17" s="65"/>
      <c r="AS17" s="65">
        <v>41035.26</v>
      </c>
      <c r="AT17" s="65">
        <v>0</v>
      </c>
      <c r="AU17" s="65">
        <f t="shared" ref="AU17:AU48" si="21">AS17+AT17</f>
        <v>41035.26</v>
      </c>
      <c r="AV17" s="65"/>
      <c r="AW17" s="65"/>
      <c r="AX17" s="65"/>
      <c r="AY17" s="65"/>
      <c r="AZ17" s="65"/>
      <c r="BA17" s="65"/>
      <c r="BB17" s="65">
        <v>0</v>
      </c>
      <c r="BC17" s="65">
        <v>3700</v>
      </c>
      <c r="BD17" s="65">
        <f t="shared" ref="BD17:BD27" si="22">BB17+BC17</f>
        <v>3700</v>
      </c>
      <c r="BE17" s="65"/>
      <c r="BF17" s="65"/>
      <c r="BG17" s="65"/>
      <c r="BH17" s="65">
        <f t="shared" si="6"/>
        <v>955526.44298095477</v>
      </c>
      <c r="BI17" s="65">
        <f t="shared" si="6"/>
        <v>3700</v>
      </c>
      <c r="BJ17" s="65">
        <f t="shared" si="6"/>
        <v>959226.44298095477</v>
      </c>
    </row>
    <row r="18" spans="1:62" ht="13.2" customHeight="1" outlineLevel="1" x14ac:dyDescent="0.25">
      <c r="A18" s="3" t="s">
        <v>50</v>
      </c>
      <c r="B18" s="3"/>
      <c r="C18" s="65"/>
      <c r="D18" s="65"/>
      <c r="E18" s="65"/>
      <c r="F18" s="65"/>
      <c r="G18" s="65"/>
      <c r="H18" s="65"/>
      <c r="I18" s="68"/>
      <c r="J18" s="65"/>
      <c r="K18" s="65"/>
      <c r="L18" s="65">
        <v>1455.658159720474</v>
      </c>
      <c r="M18" s="65">
        <f t="shared" si="8"/>
        <v>0</v>
      </c>
      <c r="N18" s="65">
        <f t="shared" si="9"/>
        <v>1455.658159720474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>
        <v>50300</v>
      </c>
      <c r="AB18" s="65">
        <v>0</v>
      </c>
      <c r="AC18" s="65">
        <f t="shared" si="15"/>
        <v>50300</v>
      </c>
      <c r="AD18" s="65">
        <v>10000</v>
      </c>
      <c r="AE18" s="65">
        <v>0</v>
      </c>
      <c r="AF18" s="65">
        <f t="shared" si="16"/>
        <v>10000</v>
      </c>
      <c r="AG18" s="65">
        <v>2990.1592969503849</v>
      </c>
      <c r="AH18" s="65">
        <f t="shared" si="17"/>
        <v>0</v>
      </c>
      <c r="AI18" s="65">
        <f t="shared" si="18"/>
        <v>2990.1592969503849</v>
      </c>
      <c r="AJ18" s="65">
        <v>888.89</v>
      </c>
      <c r="AK18" s="65">
        <v>0</v>
      </c>
      <c r="AL18" s="65">
        <f t="shared" si="19"/>
        <v>888.89</v>
      </c>
      <c r="AM18" s="65">
        <v>6401.5</v>
      </c>
      <c r="AN18" s="65">
        <v>0</v>
      </c>
      <c r="AO18" s="65">
        <f t="shared" si="20"/>
        <v>6401.5</v>
      </c>
      <c r="AP18" s="65"/>
      <c r="AQ18" s="65"/>
      <c r="AR18" s="65"/>
      <c r="AS18" s="65">
        <v>2437.5</v>
      </c>
      <c r="AT18" s="65">
        <v>0</v>
      </c>
      <c r="AU18" s="65">
        <f t="shared" si="21"/>
        <v>2437.5</v>
      </c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>
        <f t="shared" si="6"/>
        <v>74473.707456670862</v>
      </c>
      <c r="BI18" s="65">
        <f t="shared" si="6"/>
        <v>0</v>
      </c>
      <c r="BJ18" s="65">
        <f t="shared" si="6"/>
        <v>74473.707456670862</v>
      </c>
    </row>
    <row r="19" spans="1:62" ht="13.2" customHeight="1" outlineLevel="1" x14ac:dyDescent="0.25">
      <c r="A19" s="3" t="s">
        <v>51</v>
      </c>
      <c r="B19" s="3"/>
      <c r="C19" s="65">
        <v>19346.740000000002</v>
      </c>
      <c r="D19" s="65">
        <v>0</v>
      </c>
      <c r="E19" s="65">
        <f t="shared" si="7"/>
        <v>19346.740000000002</v>
      </c>
      <c r="F19" s="65"/>
      <c r="G19" s="65"/>
      <c r="H19" s="65"/>
      <c r="I19" s="68"/>
      <c r="J19" s="65"/>
      <c r="K19" s="65"/>
      <c r="L19" s="65">
        <v>1455.658159720474</v>
      </c>
      <c r="M19" s="65">
        <f t="shared" si="8"/>
        <v>0</v>
      </c>
      <c r="N19" s="65">
        <f t="shared" si="9"/>
        <v>1455.658159720474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>
        <v>19425.650000000001</v>
      </c>
      <c r="AB19" s="65">
        <v>0</v>
      </c>
      <c r="AC19" s="65">
        <f t="shared" si="15"/>
        <v>19425.650000000001</v>
      </c>
      <c r="AD19" s="65">
        <v>950</v>
      </c>
      <c r="AE19" s="65">
        <v>0</v>
      </c>
      <c r="AF19" s="65">
        <f t="shared" si="16"/>
        <v>950</v>
      </c>
      <c r="AG19" s="65">
        <v>1196.063718780154</v>
      </c>
      <c r="AH19" s="65">
        <f t="shared" si="17"/>
        <v>0</v>
      </c>
      <c r="AI19" s="65">
        <f t="shared" si="18"/>
        <v>1196.063718780154</v>
      </c>
      <c r="AJ19" s="65">
        <v>119364.44</v>
      </c>
      <c r="AK19" s="65">
        <v>0</v>
      </c>
      <c r="AL19" s="65">
        <f t="shared" si="19"/>
        <v>119364.44</v>
      </c>
      <c r="AM19" s="65">
        <v>831.25</v>
      </c>
      <c r="AN19" s="65">
        <v>0</v>
      </c>
      <c r="AO19" s="65">
        <f t="shared" si="20"/>
        <v>831.25</v>
      </c>
      <c r="AP19" s="65"/>
      <c r="AQ19" s="65"/>
      <c r="AR19" s="65"/>
      <c r="AS19" s="65"/>
      <c r="AT19" s="65"/>
      <c r="AU19" s="65"/>
      <c r="AV19" s="65"/>
      <c r="AW19" s="65"/>
      <c r="AX19" s="65"/>
      <c r="AY19" s="65">
        <v>0</v>
      </c>
      <c r="AZ19" s="65">
        <f>4000/15*9</f>
        <v>2400</v>
      </c>
      <c r="BA19" s="65">
        <f>AY19+AZ19</f>
        <v>2400</v>
      </c>
      <c r="BB19" s="65"/>
      <c r="BC19" s="65"/>
      <c r="BD19" s="65"/>
      <c r="BE19" s="65"/>
      <c r="BF19" s="65"/>
      <c r="BG19" s="65"/>
      <c r="BH19" s="65">
        <f t="shared" si="6"/>
        <v>162569.80187850064</v>
      </c>
      <c r="BI19" s="65">
        <f t="shared" si="6"/>
        <v>2400</v>
      </c>
      <c r="BJ19" s="65">
        <f t="shared" si="6"/>
        <v>164969.80187850064</v>
      </c>
    </row>
    <row r="20" spans="1:62" ht="13.95" hidden="1" customHeight="1" outlineLevel="2" x14ac:dyDescent="0.25">
      <c r="A20" s="3"/>
      <c r="B20" s="3" t="s">
        <v>52</v>
      </c>
      <c r="C20" s="65"/>
      <c r="D20" s="65"/>
      <c r="E20" s="65"/>
      <c r="F20" s="65"/>
      <c r="G20" s="65"/>
      <c r="H20" s="65"/>
      <c r="I20" s="68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>
        <v>44444.44</v>
      </c>
      <c r="AK20" s="65">
        <v>0</v>
      </c>
      <c r="AL20" s="65">
        <f t="shared" si="19"/>
        <v>44444.44</v>
      </c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>
        <f t="shared" ref="BH20:BH31" si="23">C20+F20+I20+L20+O20+R20+U20+X20+AA20+AD20+AG20+AJ20+AM20+AP20+AS20+AV20+AY20+BB20+BE20</f>
        <v>44444.44</v>
      </c>
      <c r="BI20" s="65">
        <f t="shared" ref="BI20:BI31" si="24">D20+G20+J20+M20+P20+S20+V20+Y20+AB20+AE20+AH20+AK20+AN20+AQ20+AT20+AW20+AZ20+BC20+BF20</f>
        <v>0</v>
      </c>
      <c r="BJ20" s="65">
        <f t="shared" ref="BJ20:BJ31" si="25">E20+H20+K20+N20+Q20+T20+W20+Z20+AC20+AF20+AI20+AL20+AO20+AR20+AU20+AX20+BA20+BD20+BG20</f>
        <v>44444.44</v>
      </c>
    </row>
    <row r="21" spans="1:62" ht="13.2" hidden="1" customHeight="1" outlineLevel="2" x14ac:dyDescent="0.25">
      <c r="A21" s="3"/>
      <c r="B21" s="3" t="s">
        <v>53</v>
      </c>
      <c r="C21" s="65"/>
      <c r="D21" s="65"/>
      <c r="E21" s="65"/>
      <c r="F21" s="65"/>
      <c r="G21" s="65"/>
      <c r="H21" s="65"/>
      <c r="I21" s="68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4"/>
      <c r="AC21" s="65"/>
      <c r="AD21" s="65"/>
      <c r="AE21" s="65"/>
      <c r="AF21" s="65"/>
      <c r="AG21" s="65"/>
      <c r="AH21" s="65"/>
      <c r="AI21" s="65"/>
      <c r="AJ21" s="65">
        <v>4444.4399999999996</v>
      </c>
      <c r="AK21" s="65">
        <v>0</v>
      </c>
      <c r="AL21" s="65">
        <f t="shared" si="19"/>
        <v>4444.4399999999996</v>
      </c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>
        <f t="shared" si="23"/>
        <v>4444.4399999999996</v>
      </c>
      <c r="BI21" s="65">
        <f t="shared" si="24"/>
        <v>0</v>
      </c>
      <c r="BJ21" s="65">
        <f t="shared" si="25"/>
        <v>4444.4399999999996</v>
      </c>
    </row>
    <row r="22" spans="1:62" ht="13.2" hidden="1" customHeight="1" outlineLevel="2" x14ac:dyDescent="0.25">
      <c r="A22" s="3"/>
      <c r="B22" s="3" t="s">
        <v>54</v>
      </c>
      <c r="C22" s="64"/>
      <c r="D22" s="64"/>
      <c r="E22" s="65"/>
      <c r="F22" s="65"/>
      <c r="G22" s="65"/>
      <c r="H22" s="65"/>
      <c r="I22" s="68"/>
      <c r="J22" s="65"/>
      <c r="K22" s="65"/>
      <c r="L22" s="65"/>
      <c r="M22" s="65"/>
      <c r="N22" s="65"/>
      <c r="O22" s="65"/>
      <c r="P22" s="65"/>
      <c r="Q22" s="65"/>
      <c r="R22" s="65">
        <v>11000</v>
      </c>
      <c r="S22" s="65">
        <v>0</v>
      </c>
      <c r="T22" s="65">
        <f t="shared" si="12"/>
        <v>11000</v>
      </c>
      <c r="U22" s="65">
        <v>11000</v>
      </c>
      <c r="V22" s="65">
        <v>0</v>
      </c>
      <c r="W22" s="65">
        <f t="shared" si="13"/>
        <v>11000</v>
      </c>
      <c r="X22" s="65">
        <v>11000</v>
      </c>
      <c r="Y22" s="65">
        <v>0</v>
      </c>
      <c r="Z22" s="65">
        <f t="shared" si="14"/>
        <v>11000</v>
      </c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>
        <f t="shared" si="23"/>
        <v>33000</v>
      </c>
      <c r="BI22" s="65">
        <f t="shared" si="24"/>
        <v>0</v>
      </c>
      <c r="BJ22" s="65">
        <f t="shared" si="25"/>
        <v>33000</v>
      </c>
    </row>
    <row r="23" spans="1:62" ht="13.2" hidden="1" customHeight="1" outlineLevel="2" x14ac:dyDescent="0.25">
      <c r="A23" s="3"/>
      <c r="B23" s="3" t="s">
        <v>55</v>
      </c>
      <c r="C23" s="65"/>
      <c r="D23" s="65"/>
      <c r="E23" s="65"/>
      <c r="F23" s="65"/>
      <c r="G23" s="65"/>
      <c r="H23" s="65"/>
      <c r="I23" s="68"/>
      <c r="J23" s="65"/>
      <c r="K23" s="65"/>
      <c r="L23" s="65"/>
      <c r="M23" s="65"/>
      <c r="N23" s="65"/>
      <c r="O23" s="65"/>
      <c r="P23" s="65"/>
      <c r="Q23" s="65"/>
      <c r="R23" s="65">
        <v>12000</v>
      </c>
      <c r="S23" s="65">
        <v>0</v>
      </c>
      <c r="T23" s="65">
        <f t="shared" si="12"/>
        <v>12000</v>
      </c>
      <c r="U23" s="65">
        <v>12000</v>
      </c>
      <c r="V23" s="65">
        <v>0</v>
      </c>
      <c r="W23" s="65">
        <f t="shared" si="13"/>
        <v>12000</v>
      </c>
      <c r="X23" s="65">
        <v>12000</v>
      </c>
      <c r="Y23" s="65">
        <v>0</v>
      </c>
      <c r="Z23" s="65">
        <f t="shared" si="14"/>
        <v>12000</v>
      </c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>
        <f t="shared" si="23"/>
        <v>36000</v>
      </c>
      <c r="BI23" s="65">
        <f t="shared" si="24"/>
        <v>0</v>
      </c>
      <c r="BJ23" s="65">
        <f t="shared" si="25"/>
        <v>36000</v>
      </c>
    </row>
    <row r="24" spans="1:62" ht="13.2" hidden="1" customHeight="1" outlineLevel="2" x14ac:dyDescent="0.25">
      <c r="A24" s="3"/>
      <c r="B24" s="3" t="s">
        <v>56</v>
      </c>
      <c r="C24" s="65"/>
      <c r="D24" s="65"/>
      <c r="E24" s="65"/>
      <c r="F24" s="65"/>
      <c r="G24" s="65"/>
      <c r="H24" s="65"/>
      <c r="I24" s="68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>
        <v>8888.89</v>
      </c>
      <c r="AK24" s="65">
        <v>0</v>
      </c>
      <c r="AL24" s="65">
        <f t="shared" si="19"/>
        <v>8888.89</v>
      </c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>
        <f t="shared" si="23"/>
        <v>8888.89</v>
      </c>
      <c r="BI24" s="65">
        <f t="shared" si="24"/>
        <v>0</v>
      </c>
      <c r="BJ24" s="65">
        <f t="shared" si="25"/>
        <v>8888.89</v>
      </c>
    </row>
    <row r="25" spans="1:62" ht="13.2" hidden="1" customHeight="1" outlineLevel="2" x14ac:dyDescent="0.25">
      <c r="A25" s="3"/>
      <c r="B25" s="3" t="s">
        <v>57</v>
      </c>
      <c r="C25" s="65"/>
      <c r="D25" s="65"/>
      <c r="E25" s="65"/>
      <c r="F25" s="65"/>
      <c r="G25" s="65"/>
      <c r="H25" s="65"/>
      <c r="I25" s="68"/>
      <c r="J25" s="65"/>
      <c r="K25" s="65"/>
      <c r="L25" s="65">
        <v>1940.8775462939652</v>
      </c>
      <c r="M25" s="65">
        <f t="shared" si="8"/>
        <v>0</v>
      </c>
      <c r="N25" s="65">
        <f t="shared" si="9"/>
        <v>1940.8775462939652</v>
      </c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>
        <v>4000</v>
      </c>
      <c r="AE25" s="65">
        <v>0</v>
      </c>
      <c r="AF25" s="65">
        <f t="shared" si="16"/>
        <v>4000</v>
      </c>
      <c r="AG25" s="65"/>
      <c r="AH25" s="65"/>
      <c r="AI25" s="65"/>
      <c r="AJ25" s="65">
        <v>13333.33</v>
      </c>
      <c r="AK25" s="65">
        <v>0</v>
      </c>
      <c r="AL25" s="65">
        <f t="shared" si="19"/>
        <v>13333.33</v>
      </c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>
        <f t="shared" si="23"/>
        <v>19274.207546293965</v>
      </c>
      <c r="BI25" s="65">
        <f t="shared" si="24"/>
        <v>0</v>
      </c>
      <c r="BJ25" s="65">
        <f t="shared" si="25"/>
        <v>19274.207546293965</v>
      </c>
    </row>
    <row r="26" spans="1:62" ht="13.2" hidden="1" customHeight="1" outlineLevel="2" x14ac:dyDescent="0.25">
      <c r="A26" s="3"/>
      <c r="B26" s="3" t="s">
        <v>58</v>
      </c>
      <c r="C26" s="65"/>
      <c r="D26" s="65"/>
      <c r="E26" s="65"/>
      <c r="F26" s="65"/>
      <c r="G26" s="65"/>
      <c r="H26" s="65"/>
      <c r="I26" s="68"/>
      <c r="J26" s="65"/>
      <c r="K26" s="65"/>
      <c r="L26" s="65">
        <v>9704.3877314698257</v>
      </c>
      <c r="M26" s="65">
        <f t="shared" si="8"/>
        <v>0</v>
      </c>
      <c r="N26" s="65">
        <f t="shared" si="9"/>
        <v>9704.3877314698257</v>
      </c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>
        <f t="shared" si="23"/>
        <v>9704.3877314698257</v>
      </c>
      <c r="BI26" s="65">
        <f t="shared" si="24"/>
        <v>0</v>
      </c>
      <c r="BJ26" s="65">
        <f t="shared" si="25"/>
        <v>9704.3877314698257</v>
      </c>
    </row>
    <row r="27" spans="1:62" ht="13.2" hidden="1" customHeight="1" outlineLevel="2" x14ac:dyDescent="0.25">
      <c r="A27" s="3"/>
      <c r="B27" s="3" t="s">
        <v>59</v>
      </c>
      <c r="C27" s="65"/>
      <c r="D27" s="65"/>
      <c r="E27" s="65"/>
      <c r="F27" s="65"/>
      <c r="G27" s="65"/>
      <c r="H27" s="65"/>
      <c r="I27" s="68"/>
      <c r="J27" s="65"/>
      <c r="K27" s="65"/>
      <c r="L27" s="65">
        <v>194087.75462939654</v>
      </c>
      <c r="M27" s="65">
        <f t="shared" si="8"/>
        <v>0</v>
      </c>
      <c r="N27" s="65">
        <f t="shared" si="9"/>
        <v>194087.75462939654</v>
      </c>
      <c r="O27" s="65">
        <v>102027.39925086719</v>
      </c>
      <c r="P27" s="65">
        <f t="shared" si="10"/>
        <v>0</v>
      </c>
      <c r="Q27" s="65">
        <f t="shared" si="11"/>
        <v>102027.39925086719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>
        <v>4207989.67</v>
      </c>
      <c r="AQ27" s="65">
        <v>0</v>
      </c>
      <c r="AR27" s="65">
        <f>AP27+AQ27</f>
        <v>4207989.67</v>
      </c>
      <c r="AS27" s="65"/>
      <c r="AT27" s="65"/>
      <c r="AU27" s="65"/>
      <c r="AV27" s="65"/>
      <c r="AW27" s="65"/>
      <c r="AX27" s="65"/>
      <c r="AY27" s="65">
        <v>0</v>
      </c>
      <c r="AZ27" s="65">
        <f>191227.27/15*9</f>
        <v>114736.36199999999</v>
      </c>
      <c r="BA27" s="65">
        <f>AY27+AZ27</f>
        <v>114736.36199999999</v>
      </c>
      <c r="BB27" s="65">
        <v>0</v>
      </c>
      <c r="BC27" s="65">
        <v>37000</v>
      </c>
      <c r="BD27" s="65">
        <f t="shared" si="22"/>
        <v>37000</v>
      </c>
      <c r="BE27" s="65"/>
      <c r="BF27" s="65"/>
      <c r="BG27" s="65"/>
      <c r="BH27" s="65">
        <f t="shared" si="23"/>
        <v>4504104.8238802636</v>
      </c>
      <c r="BI27" s="65">
        <f t="shared" si="24"/>
        <v>151736.36199999999</v>
      </c>
      <c r="BJ27" s="65">
        <f t="shared" si="25"/>
        <v>4655841.1858802633</v>
      </c>
    </row>
    <row r="28" spans="1:62" ht="13.2" hidden="1" customHeight="1" outlineLevel="2" x14ac:dyDescent="0.25">
      <c r="A28" s="3"/>
      <c r="B28" s="3" t="s">
        <v>60</v>
      </c>
      <c r="C28" s="65"/>
      <c r="D28" s="65"/>
      <c r="E28" s="65"/>
      <c r="F28" s="65"/>
      <c r="G28" s="65"/>
      <c r="H28" s="65"/>
      <c r="I28" s="68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>
        <v>100000</v>
      </c>
      <c r="AE28" s="65">
        <v>0</v>
      </c>
      <c r="AF28" s="65">
        <f t="shared" si="16"/>
        <v>100000</v>
      </c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>
        <f t="shared" si="23"/>
        <v>100000</v>
      </c>
      <c r="BI28" s="65">
        <f t="shared" si="24"/>
        <v>0</v>
      </c>
      <c r="BJ28" s="65">
        <f t="shared" si="25"/>
        <v>100000</v>
      </c>
    </row>
    <row r="29" spans="1:62" ht="13.2" hidden="1" customHeight="1" outlineLevel="2" x14ac:dyDescent="0.25">
      <c r="A29" s="3"/>
      <c r="B29" s="3" t="s">
        <v>61</v>
      </c>
      <c r="C29" s="65"/>
      <c r="D29" s="65"/>
      <c r="E29" s="65"/>
      <c r="F29" s="65"/>
      <c r="G29" s="65"/>
      <c r="H29" s="65"/>
      <c r="I29" s="68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>
        <v>100000</v>
      </c>
      <c r="AE29" s="65">
        <v>0</v>
      </c>
      <c r="AF29" s="65">
        <f t="shared" si="16"/>
        <v>100000</v>
      </c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>
        <f t="shared" si="23"/>
        <v>100000</v>
      </c>
      <c r="BI29" s="65">
        <f t="shared" si="24"/>
        <v>0</v>
      </c>
      <c r="BJ29" s="65">
        <f t="shared" si="25"/>
        <v>100000</v>
      </c>
    </row>
    <row r="30" spans="1:62" ht="13.2" hidden="1" customHeight="1" outlineLevel="2" x14ac:dyDescent="0.25">
      <c r="A30" s="3"/>
      <c r="B30" s="3" t="s">
        <v>62</v>
      </c>
      <c r="C30" s="65"/>
      <c r="D30" s="65"/>
      <c r="E30" s="65"/>
      <c r="F30" s="65"/>
      <c r="G30" s="65"/>
      <c r="H30" s="65"/>
      <c r="I30" s="68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>
        <f t="shared" si="23"/>
        <v>0</v>
      </c>
      <c r="BI30" s="65">
        <f t="shared" si="24"/>
        <v>0</v>
      </c>
      <c r="BJ30" s="65">
        <f t="shared" si="25"/>
        <v>0</v>
      </c>
    </row>
    <row r="31" spans="1:62" ht="13.2" hidden="1" customHeight="1" outlineLevel="2" x14ac:dyDescent="0.25">
      <c r="A31" s="3"/>
      <c r="B31" s="3" t="s">
        <v>63</v>
      </c>
      <c r="C31" s="65"/>
      <c r="D31" s="65"/>
      <c r="E31" s="65"/>
      <c r="F31" s="65"/>
      <c r="G31" s="65"/>
      <c r="H31" s="65"/>
      <c r="I31" s="64"/>
      <c r="J31" s="65"/>
      <c r="K31" s="65"/>
      <c r="L31" s="65"/>
      <c r="M31" s="65"/>
      <c r="N31" s="65"/>
      <c r="O31" s="65">
        <v>4721.6726844672003</v>
      </c>
      <c r="P31" s="65">
        <f t="shared" si="10"/>
        <v>0</v>
      </c>
      <c r="Q31" s="65">
        <f t="shared" si="11"/>
        <v>4721.6726844672003</v>
      </c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>
        <v>270904.02</v>
      </c>
      <c r="AQ31" s="65">
        <v>0</v>
      </c>
      <c r="AR31" s="65">
        <f t="shared" ref="AR31:AR49" si="26">AP31+AQ31</f>
        <v>270904.02</v>
      </c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>
        <f t="shared" si="23"/>
        <v>275625.69268446724</v>
      </c>
      <c r="BI31" s="65">
        <f t="shared" si="24"/>
        <v>0</v>
      </c>
      <c r="BJ31" s="65">
        <f t="shared" si="25"/>
        <v>275625.69268446724</v>
      </c>
    </row>
    <row r="32" spans="1:62" ht="13.2" customHeight="1" outlineLevel="1" collapsed="1" x14ac:dyDescent="0.25">
      <c r="A32" s="62" t="s">
        <v>177</v>
      </c>
      <c r="B32" s="62"/>
      <c r="C32" s="69"/>
      <c r="D32" s="69"/>
      <c r="E32" s="69"/>
      <c r="F32" s="69">
        <v>776878.15488710103</v>
      </c>
      <c r="G32" s="69">
        <f t="shared" ref="G32:G49" si="27">F32*G$13</f>
        <v>0</v>
      </c>
      <c r="H32" s="69">
        <f t="shared" ref="H32" si="28">F32+G32</f>
        <v>776878.15488710103</v>
      </c>
      <c r="I32" s="70">
        <v>452220.00008000934</v>
      </c>
      <c r="J32" s="69">
        <f t="shared" ref="J32:J49" si="29">I32*J$13</f>
        <v>0</v>
      </c>
      <c r="K32" s="69">
        <f t="shared" ref="K32:K49" si="30">I32+J32</f>
        <v>452220.00008000934</v>
      </c>
      <c r="L32" s="69">
        <v>205733.01990716031</v>
      </c>
      <c r="M32" s="69">
        <f t="shared" si="8"/>
        <v>0</v>
      </c>
      <c r="N32" s="69">
        <f t="shared" si="9"/>
        <v>205733.01990716031</v>
      </c>
      <c r="O32" s="69">
        <v>106749.07193533439</v>
      </c>
      <c r="P32" s="69">
        <f t="shared" si="10"/>
        <v>0</v>
      </c>
      <c r="Q32" s="69">
        <f t="shared" si="11"/>
        <v>106749.07193533439</v>
      </c>
      <c r="R32" s="69">
        <v>1279428.3859533579</v>
      </c>
      <c r="S32" s="69">
        <v>0</v>
      </c>
      <c r="T32" s="69">
        <f t="shared" si="12"/>
        <v>1279428.3859533579</v>
      </c>
      <c r="U32" s="69">
        <v>1115295.4242362801</v>
      </c>
      <c r="V32" s="69">
        <v>0</v>
      </c>
      <c r="W32" s="69">
        <f t="shared" si="13"/>
        <v>1115295.4242362801</v>
      </c>
      <c r="X32" s="69">
        <v>1613636.36</v>
      </c>
      <c r="Y32" s="69">
        <v>0</v>
      </c>
      <c r="Z32" s="69">
        <f t="shared" si="14"/>
        <v>1613636.36</v>
      </c>
      <c r="AA32" s="69">
        <v>1785000</v>
      </c>
      <c r="AB32" s="69">
        <v>0</v>
      </c>
      <c r="AC32" s="69">
        <f t="shared" si="15"/>
        <v>1785000</v>
      </c>
      <c r="AD32" s="69">
        <f>SUM(AD20:AD31)</f>
        <v>204000</v>
      </c>
      <c r="AE32" s="69">
        <v>0</v>
      </c>
      <c r="AF32" s="69">
        <f t="shared" si="16"/>
        <v>204000</v>
      </c>
      <c r="AG32" s="69">
        <v>48440.580610596233</v>
      </c>
      <c r="AH32" s="69">
        <f t="shared" si="17"/>
        <v>0</v>
      </c>
      <c r="AI32" s="69">
        <f t="shared" si="18"/>
        <v>48440.580610596233</v>
      </c>
      <c r="AJ32" s="69">
        <f>SUM(AJ20:AJ31)</f>
        <v>71111.100000000006</v>
      </c>
      <c r="AK32" s="69">
        <v>0</v>
      </c>
      <c r="AL32" s="69">
        <f t="shared" si="19"/>
        <v>71111.100000000006</v>
      </c>
      <c r="AM32" s="69"/>
      <c r="AN32" s="69"/>
      <c r="AO32" s="69"/>
      <c r="AP32" s="69">
        <f>SUM(AP20:AP31)</f>
        <v>4478893.6899999995</v>
      </c>
      <c r="AQ32" s="69">
        <f t="shared" ref="AQ32:BD32" si="31">SUM(AQ20:AQ31)</f>
        <v>0</v>
      </c>
      <c r="AR32" s="69">
        <f t="shared" si="31"/>
        <v>4478893.6899999995</v>
      </c>
      <c r="AS32" s="69">
        <f t="shared" si="31"/>
        <v>0</v>
      </c>
      <c r="AT32" s="69">
        <f t="shared" si="31"/>
        <v>0</v>
      </c>
      <c r="AU32" s="69">
        <f t="shared" si="31"/>
        <v>0</v>
      </c>
      <c r="AV32" s="69">
        <f t="shared" si="31"/>
        <v>0</v>
      </c>
      <c r="AW32" s="69">
        <f t="shared" si="31"/>
        <v>0</v>
      </c>
      <c r="AX32" s="69">
        <f t="shared" si="31"/>
        <v>0</v>
      </c>
      <c r="AY32" s="69">
        <f t="shared" si="31"/>
        <v>0</v>
      </c>
      <c r="AZ32" s="69">
        <f t="shared" si="31"/>
        <v>114736.36199999999</v>
      </c>
      <c r="BA32" s="69">
        <f t="shared" si="31"/>
        <v>114736.36199999999</v>
      </c>
      <c r="BB32" s="69">
        <f t="shared" si="31"/>
        <v>0</v>
      </c>
      <c r="BC32" s="69">
        <f t="shared" si="31"/>
        <v>37000</v>
      </c>
      <c r="BD32" s="69">
        <f t="shared" si="31"/>
        <v>37000</v>
      </c>
      <c r="BE32" s="69"/>
      <c r="BF32" s="69"/>
      <c r="BG32" s="69"/>
      <c r="BH32" s="69">
        <f t="shared" ref="BH32:BH49" si="32">C32+F32+I32+L32+O32+R32+U32+X32+AA32+AD32+AG32+AJ32+AM32+AP32+AS32+AV32+AY32+BB32+BE32</f>
        <v>12137385.787609838</v>
      </c>
      <c r="BI32" s="69">
        <f t="shared" ref="BI32:BJ32" si="33">D32+G32+J32+M32+P32+S32+V32+Y32+AB32+AE32+AH32+AK32+AN32+AQ32+AT32+AW32+AZ32+BC32+BF32</f>
        <v>151736.36199999999</v>
      </c>
      <c r="BJ32" s="69">
        <f t="shared" si="33"/>
        <v>12289122.149609838</v>
      </c>
    </row>
    <row r="33" spans="1:62" hidden="1" outlineLevel="2" x14ac:dyDescent="0.25">
      <c r="A33" s="3"/>
      <c r="B33" s="3" t="s">
        <v>64</v>
      </c>
      <c r="C33" s="65">
        <v>41505</v>
      </c>
      <c r="D33" s="65">
        <v>0</v>
      </c>
      <c r="E33" s="65">
        <f t="shared" si="7"/>
        <v>41505</v>
      </c>
      <c r="F33" s="65"/>
      <c r="G33" s="65"/>
      <c r="H33" s="65"/>
      <c r="I33" s="68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>
        <f t="shared" si="32"/>
        <v>41505</v>
      </c>
      <c r="BI33" s="65">
        <f t="shared" ref="BI33:BI49" si="34">D33+G33+J33+M33+P33+S33+V33+Y33+AB33+AE33+AH33+AK33+AN33+AQ33+AT33+AW33+AZ33+BC33+BF33</f>
        <v>0</v>
      </c>
      <c r="BJ33" s="65">
        <f t="shared" ref="BJ33:BJ49" si="35">E33+H33+K33+N33+Q33+T33+W33+Z33+AC33+AF33+AI33+AL33+AO33+AR33+AU33+AX33+BA33+BD33+BG33</f>
        <v>41505</v>
      </c>
    </row>
    <row r="34" spans="1:62" ht="13.05" hidden="1" customHeight="1" outlineLevel="2" x14ac:dyDescent="0.25">
      <c r="A34" s="3"/>
      <c r="B34" s="3" t="s">
        <v>65</v>
      </c>
      <c r="C34" s="65">
        <v>52000</v>
      </c>
      <c r="D34" s="65">
        <v>0</v>
      </c>
      <c r="E34" s="65">
        <f t="shared" si="7"/>
        <v>52000</v>
      </c>
      <c r="F34" s="65"/>
      <c r="G34" s="65"/>
      <c r="H34" s="65"/>
      <c r="I34" s="68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>
        <f t="shared" si="32"/>
        <v>52000</v>
      </c>
      <c r="BI34" s="65">
        <f t="shared" si="34"/>
        <v>0</v>
      </c>
      <c r="BJ34" s="65">
        <f t="shared" si="35"/>
        <v>52000</v>
      </c>
    </row>
    <row r="35" spans="1:62" hidden="1" outlineLevel="2" x14ac:dyDescent="0.25">
      <c r="A35" s="3"/>
      <c r="B35" s="3" t="s">
        <v>66</v>
      </c>
      <c r="C35" s="65">
        <v>100000</v>
      </c>
      <c r="D35" s="65">
        <v>0</v>
      </c>
      <c r="E35" s="65">
        <f t="shared" si="7"/>
        <v>100000</v>
      </c>
      <c r="F35" s="65"/>
      <c r="G35" s="65"/>
      <c r="H35" s="65"/>
      <c r="I35" s="68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>
        <f t="shared" si="32"/>
        <v>100000</v>
      </c>
      <c r="BI35" s="65">
        <f t="shared" si="34"/>
        <v>0</v>
      </c>
      <c r="BJ35" s="65">
        <f t="shared" si="35"/>
        <v>100000</v>
      </c>
    </row>
    <row r="36" spans="1:62" hidden="1" outlineLevel="2" x14ac:dyDescent="0.25">
      <c r="A36" s="3"/>
      <c r="B36" s="3" t="s">
        <v>67</v>
      </c>
      <c r="C36" s="65">
        <v>100000</v>
      </c>
      <c r="D36" s="65">
        <v>0</v>
      </c>
      <c r="E36" s="65">
        <f t="shared" si="7"/>
        <v>100000</v>
      </c>
      <c r="F36" s="65"/>
      <c r="G36" s="65"/>
      <c r="H36" s="65"/>
      <c r="I36" s="68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>
        <f t="shared" si="32"/>
        <v>100000</v>
      </c>
      <c r="BI36" s="65">
        <f t="shared" si="34"/>
        <v>0</v>
      </c>
      <c r="BJ36" s="65">
        <f t="shared" si="35"/>
        <v>100000</v>
      </c>
    </row>
    <row r="37" spans="1:62" hidden="1" outlineLevel="2" x14ac:dyDescent="0.25">
      <c r="A37" s="3"/>
      <c r="B37" s="3" t="s">
        <v>68</v>
      </c>
      <c r="C37" s="65">
        <v>100000</v>
      </c>
      <c r="D37" s="65">
        <v>60000</v>
      </c>
      <c r="E37" s="65">
        <f t="shared" si="7"/>
        <v>160000</v>
      </c>
      <c r="F37" s="65"/>
      <c r="G37" s="65"/>
      <c r="H37" s="65"/>
      <c r="I37" s="68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>
        <f t="shared" si="26"/>
        <v>0</v>
      </c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>
        <f t="shared" si="32"/>
        <v>100000</v>
      </c>
      <c r="BI37" s="65">
        <f t="shared" si="34"/>
        <v>60000</v>
      </c>
      <c r="BJ37" s="65">
        <f t="shared" si="35"/>
        <v>160000</v>
      </c>
    </row>
    <row r="38" spans="1:62" hidden="1" outlineLevel="2" x14ac:dyDescent="0.25">
      <c r="A38" s="3"/>
      <c r="B38" s="3" t="s">
        <v>69</v>
      </c>
      <c r="C38" s="65">
        <v>150000</v>
      </c>
      <c r="D38" s="65">
        <v>130000</v>
      </c>
      <c r="E38" s="65">
        <f t="shared" si="7"/>
        <v>280000</v>
      </c>
      <c r="F38" s="65"/>
      <c r="G38" s="65"/>
      <c r="H38" s="65"/>
      <c r="I38" s="64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>
        <f t="shared" si="32"/>
        <v>150000</v>
      </c>
      <c r="BI38" s="65">
        <f t="shared" si="34"/>
        <v>130000</v>
      </c>
      <c r="BJ38" s="65">
        <f t="shared" si="35"/>
        <v>280000</v>
      </c>
    </row>
    <row r="39" spans="1:62" hidden="1" outlineLevel="2" x14ac:dyDescent="0.25">
      <c r="A39" s="3"/>
      <c r="B39" s="3" t="s">
        <v>70</v>
      </c>
      <c r="C39" s="65">
        <v>0</v>
      </c>
      <c r="D39" s="65">
        <v>10000</v>
      </c>
      <c r="E39" s="65">
        <f t="shared" si="7"/>
        <v>10000</v>
      </c>
      <c r="F39" s="65"/>
      <c r="G39" s="65"/>
      <c r="H39" s="65"/>
      <c r="I39" s="64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>
        <f t="shared" si="26"/>
        <v>0</v>
      </c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>
        <f t="shared" si="32"/>
        <v>0</v>
      </c>
      <c r="BI39" s="65">
        <f t="shared" si="34"/>
        <v>10000</v>
      </c>
      <c r="BJ39" s="65">
        <f t="shared" si="35"/>
        <v>10000</v>
      </c>
    </row>
    <row r="40" spans="1:62" hidden="1" outlineLevel="2" x14ac:dyDescent="0.25">
      <c r="A40" s="3"/>
      <c r="B40" s="3" t="s">
        <v>71</v>
      </c>
      <c r="C40" s="65">
        <v>225000</v>
      </c>
      <c r="D40" s="65">
        <v>0</v>
      </c>
      <c r="E40" s="65">
        <f t="shared" si="7"/>
        <v>225000</v>
      </c>
      <c r="F40" s="65"/>
      <c r="G40" s="65"/>
      <c r="H40" s="65"/>
      <c r="I40" s="64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>
        <f t="shared" si="32"/>
        <v>225000</v>
      </c>
      <c r="BI40" s="65">
        <f t="shared" si="34"/>
        <v>0</v>
      </c>
      <c r="BJ40" s="65">
        <f t="shared" si="35"/>
        <v>225000</v>
      </c>
    </row>
    <row r="41" spans="1:62" hidden="1" outlineLevel="2" x14ac:dyDescent="0.25">
      <c r="A41" s="3"/>
      <c r="B41" s="3" t="s">
        <v>72</v>
      </c>
      <c r="C41" s="65">
        <v>0</v>
      </c>
      <c r="D41" s="65">
        <v>125000</v>
      </c>
      <c r="E41" s="65">
        <f t="shared" si="7"/>
        <v>125000</v>
      </c>
      <c r="F41" s="65"/>
      <c r="G41" s="65"/>
      <c r="H41" s="65"/>
      <c r="I41" s="64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>
        <f t="shared" si="32"/>
        <v>0</v>
      </c>
      <c r="BI41" s="65">
        <f t="shared" si="34"/>
        <v>125000</v>
      </c>
      <c r="BJ41" s="65">
        <f t="shared" si="35"/>
        <v>125000</v>
      </c>
    </row>
    <row r="42" spans="1:62" hidden="1" outlineLevel="2" x14ac:dyDescent="0.25">
      <c r="A42" s="3"/>
      <c r="B42" s="3" t="s">
        <v>73</v>
      </c>
      <c r="C42" s="65">
        <v>0</v>
      </c>
      <c r="D42" s="65">
        <v>20000</v>
      </c>
      <c r="E42" s="65">
        <f t="shared" si="7"/>
        <v>20000</v>
      </c>
      <c r="F42" s="65"/>
      <c r="G42" s="65"/>
      <c r="H42" s="65"/>
      <c r="I42" s="64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>
        <f t="shared" si="32"/>
        <v>0</v>
      </c>
      <c r="BI42" s="65">
        <f t="shared" si="34"/>
        <v>20000</v>
      </c>
      <c r="BJ42" s="65">
        <f t="shared" si="35"/>
        <v>20000</v>
      </c>
    </row>
    <row r="43" spans="1:62" outlineLevel="1" collapsed="1" x14ac:dyDescent="0.25">
      <c r="A43" s="3" t="s">
        <v>178</v>
      </c>
      <c r="B43" s="3"/>
      <c r="C43" s="65">
        <f>SUM(C33:C42)</f>
        <v>768505</v>
      </c>
      <c r="D43" s="65">
        <f>SUM(D33:D42)</f>
        <v>345000</v>
      </c>
      <c r="E43" s="65">
        <f>SUM(E33:E42)</f>
        <v>1113505</v>
      </c>
      <c r="F43" s="65">
        <f t="shared" ref="F43:BJ43" si="36">SUM(F33:F42)</f>
        <v>0</v>
      </c>
      <c r="G43" s="65">
        <f t="shared" si="36"/>
        <v>0</v>
      </c>
      <c r="H43" s="65">
        <f t="shared" si="36"/>
        <v>0</v>
      </c>
      <c r="I43" s="65">
        <f t="shared" si="36"/>
        <v>0</v>
      </c>
      <c r="J43" s="65">
        <f t="shared" si="36"/>
        <v>0</v>
      </c>
      <c r="K43" s="65">
        <f t="shared" si="36"/>
        <v>0</v>
      </c>
      <c r="L43" s="65">
        <f t="shared" si="36"/>
        <v>0</v>
      </c>
      <c r="M43" s="65">
        <f t="shared" si="36"/>
        <v>0</v>
      </c>
      <c r="N43" s="65">
        <f t="shared" si="36"/>
        <v>0</v>
      </c>
      <c r="O43" s="65">
        <f t="shared" si="36"/>
        <v>0</v>
      </c>
      <c r="P43" s="65">
        <f t="shared" si="36"/>
        <v>0</v>
      </c>
      <c r="Q43" s="65">
        <f t="shared" si="36"/>
        <v>0</v>
      </c>
      <c r="R43" s="65">
        <f t="shared" si="36"/>
        <v>0</v>
      </c>
      <c r="S43" s="65">
        <f t="shared" si="36"/>
        <v>0</v>
      </c>
      <c r="T43" s="65">
        <f t="shared" si="36"/>
        <v>0</v>
      </c>
      <c r="U43" s="65">
        <f t="shared" si="36"/>
        <v>0</v>
      </c>
      <c r="V43" s="65">
        <f t="shared" si="36"/>
        <v>0</v>
      </c>
      <c r="W43" s="65">
        <f t="shared" si="36"/>
        <v>0</v>
      </c>
      <c r="X43" s="65">
        <f t="shared" si="36"/>
        <v>0</v>
      </c>
      <c r="Y43" s="65">
        <f t="shared" si="36"/>
        <v>0</v>
      </c>
      <c r="Z43" s="65">
        <f t="shared" si="36"/>
        <v>0</v>
      </c>
      <c r="AA43" s="65">
        <f t="shared" si="36"/>
        <v>0</v>
      </c>
      <c r="AB43" s="65">
        <f t="shared" si="36"/>
        <v>0</v>
      </c>
      <c r="AC43" s="65">
        <f t="shared" si="36"/>
        <v>0</v>
      </c>
      <c r="AD43" s="65">
        <f t="shared" si="36"/>
        <v>0</v>
      </c>
      <c r="AE43" s="65">
        <f t="shared" si="36"/>
        <v>0</v>
      </c>
      <c r="AF43" s="65">
        <f t="shared" si="36"/>
        <v>0</v>
      </c>
      <c r="AG43" s="65">
        <f t="shared" si="36"/>
        <v>0</v>
      </c>
      <c r="AH43" s="65">
        <f t="shared" si="36"/>
        <v>0</v>
      </c>
      <c r="AI43" s="65">
        <f t="shared" si="36"/>
        <v>0</v>
      </c>
      <c r="AJ43" s="65">
        <f t="shared" si="36"/>
        <v>0</v>
      </c>
      <c r="AK43" s="65">
        <f t="shared" si="36"/>
        <v>0</v>
      </c>
      <c r="AL43" s="65">
        <f t="shared" si="36"/>
        <v>0</v>
      </c>
      <c r="AM43" s="65">
        <f t="shared" si="36"/>
        <v>0</v>
      </c>
      <c r="AN43" s="65">
        <f t="shared" si="36"/>
        <v>0</v>
      </c>
      <c r="AO43" s="65">
        <f t="shared" si="36"/>
        <v>0</v>
      </c>
      <c r="AP43" s="65">
        <f t="shared" si="36"/>
        <v>0</v>
      </c>
      <c r="AQ43" s="65">
        <f t="shared" si="36"/>
        <v>0</v>
      </c>
      <c r="AR43" s="65">
        <f t="shared" si="36"/>
        <v>0</v>
      </c>
      <c r="AS43" s="65">
        <f t="shared" si="36"/>
        <v>0</v>
      </c>
      <c r="AT43" s="65">
        <f t="shared" si="36"/>
        <v>0</v>
      </c>
      <c r="AU43" s="65">
        <f t="shared" si="36"/>
        <v>0</v>
      </c>
      <c r="AV43" s="65">
        <f t="shared" si="36"/>
        <v>0</v>
      </c>
      <c r="AW43" s="65">
        <f t="shared" si="36"/>
        <v>0</v>
      </c>
      <c r="AX43" s="65">
        <f t="shared" si="36"/>
        <v>0</v>
      </c>
      <c r="AY43" s="65">
        <f t="shared" si="36"/>
        <v>0</v>
      </c>
      <c r="AZ43" s="65">
        <f t="shared" si="36"/>
        <v>0</v>
      </c>
      <c r="BA43" s="65">
        <f t="shared" si="36"/>
        <v>0</v>
      </c>
      <c r="BB43" s="65">
        <f t="shared" si="36"/>
        <v>0</v>
      </c>
      <c r="BC43" s="65">
        <f t="shared" si="36"/>
        <v>0</v>
      </c>
      <c r="BD43" s="65">
        <f t="shared" si="36"/>
        <v>0</v>
      </c>
      <c r="BE43" s="65">
        <f t="shared" si="36"/>
        <v>0</v>
      </c>
      <c r="BF43" s="65">
        <f t="shared" si="36"/>
        <v>0</v>
      </c>
      <c r="BG43" s="65">
        <f t="shared" si="36"/>
        <v>0</v>
      </c>
      <c r="BH43" s="65">
        <f t="shared" si="36"/>
        <v>768505</v>
      </c>
      <c r="BI43" s="65">
        <f t="shared" si="36"/>
        <v>345000</v>
      </c>
      <c r="BJ43" s="65">
        <f t="shared" si="36"/>
        <v>1113505</v>
      </c>
    </row>
    <row r="44" spans="1:62" ht="13.2" customHeight="1" outlineLevel="1" x14ac:dyDescent="0.25">
      <c r="A44" s="3" t="s">
        <v>74</v>
      </c>
      <c r="B44" s="3"/>
      <c r="C44" s="65">
        <v>20143.32</v>
      </c>
      <c r="D44" s="65">
        <v>0</v>
      </c>
      <c r="E44" s="65">
        <f t="shared" si="7"/>
        <v>20143.32</v>
      </c>
      <c r="F44" s="65"/>
      <c r="G44" s="65"/>
      <c r="H44" s="65"/>
      <c r="I44" s="64"/>
      <c r="J44" s="65"/>
      <c r="K44" s="65"/>
      <c r="L44" s="65"/>
      <c r="M44" s="65"/>
      <c r="N44" s="65"/>
      <c r="O44" s="65"/>
      <c r="P44" s="65"/>
      <c r="Q44" s="65"/>
      <c r="R44" s="65">
        <f>88525.04-23000</f>
        <v>65525.039999999994</v>
      </c>
      <c r="S44" s="65">
        <v>0</v>
      </c>
      <c r="T44" s="65">
        <f t="shared" si="12"/>
        <v>65525.039999999994</v>
      </c>
      <c r="U44" s="65">
        <f>94729.84-23000</f>
        <v>71729.84</v>
      </c>
      <c r="V44" s="65">
        <v>0</v>
      </c>
      <c r="W44" s="65">
        <f t="shared" si="13"/>
        <v>71729.84</v>
      </c>
      <c r="X44" s="65">
        <f>118745.13-23000</f>
        <v>95745.13</v>
      </c>
      <c r="Y44" s="65">
        <v>0</v>
      </c>
      <c r="Z44" s="65">
        <f t="shared" si="14"/>
        <v>95745.13</v>
      </c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>
        <f t="shared" si="32"/>
        <v>253143.33</v>
      </c>
      <c r="BI44" s="65">
        <f t="shared" si="34"/>
        <v>0</v>
      </c>
      <c r="BJ44" s="65">
        <f t="shared" si="35"/>
        <v>253143.33</v>
      </c>
    </row>
    <row r="45" spans="1:62" ht="13.2" customHeight="1" outlineLevel="1" x14ac:dyDescent="0.25">
      <c r="A45" s="3" t="s">
        <v>75</v>
      </c>
      <c r="B45" s="3"/>
      <c r="C45" s="65"/>
      <c r="D45" s="65"/>
      <c r="E45" s="65">
        <f t="shared" si="7"/>
        <v>0</v>
      </c>
      <c r="F45" s="65"/>
      <c r="G45" s="65"/>
      <c r="H45" s="65"/>
      <c r="I45" s="64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>
        <f t="shared" si="14"/>
        <v>0</v>
      </c>
      <c r="AA45" s="65"/>
      <c r="AB45" s="65"/>
      <c r="AC45" s="65"/>
      <c r="AD45" s="65"/>
      <c r="AE45" s="65"/>
      <c r="AF45" s="65"/>
      <c r="AG45" s="65">
        <v>7176.3823126809239</v>
      </c>
      <c r="AH45" s="65">
        <f t="shared" si="17"/>
        <v>0</v>
      </c>
      <c r="AI45" s="65">
        <f t="shared" si="18"/>
        <v>7176.3823126809239</v>
      </c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>
        <f t="shared" si="32"/>
        <v>7176.3823126809239</v>
      </c>
      <c r="BI45" s="65">
        <f t="shared" si="34"/>
        <v>0</v>
      </c>
      <c r="BJ45" s="65">
        <f t="shared" si="35"/>
        <v>7176.3823126809239</v>
      </c>
    </row>
    <row r="46" spans="1:62" ht="13.2" customHeight="1" outlineLevel="1" x14ac:dyDescent="0.25">
      <c r="A46" s="3" t="s">
        <v>76</v>
      </c>
      <c r="B46" s="3"/>
      <c r="C46" s="65"/>
      <c r="D46" s="65"/>
      <c r="E46" s="65">
        <f t="shared" si="7"/>
        <v>0</v>
      </c>
      <c r="F46" s="65"/>
      <c r="G46" s="65"/>
      <c r="H46" s="65"/>
      <c r="I46" s="64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>
        <v>83724.460314610769</v>
      </c>
      <c r="AH46" s="65">
        <f t="shared" si="17"/>
        <v>0</v>
      </c>
      <c r="AI46" s="65">
        <f t="shared" si="18"/>
        <v>83724.460314610769</v>
      </c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>
        <f t="shared" si="32"/>
        <v>83724.460314610769</v>
      </c>
      <c r="BI46" s="65">
        <f t="shared" si="34"/>
        <v>0</v>
      </c>
      <c r="BJ46" s="65">
        <f t="shared" si="35"/>
        <v>83724.460314610769</v>
      </c>
    </row>
    <row r="47" spans="1:62" ht="13.2" customHeight="1" outlineLevel="1" x14ac:dyDescent="0.25">
      <c r="A47" s="3" t="s">
        <v>77</v>
      </c>
      <c r="B47" s="3"/>
      <c r="C47" s="65"/>
      <c r="D47" s="65"/>
      <c r="E47" s="65">
        <f t="shared" si="7"/>
        <v>0</v>
      </c>
      <c r="F47" s="65"/>
      <c r="G47" s="65"/>
      <c r="H47" s="65"/>
      <c r="I47" s="64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>
        <v>88888.89</v>
      </c>
      <c r="AK47" s="65">
        <v>0</v>
      </c>
      <c r="AL47" s="65">
        <f t="shared" si="19"/>
        <v>88888.89</v>
      </c>
      <c r="AM47" s="65"/>
      <c r="AN47" s="65"/>
      <c r="AO47" s="65"/>
      <c r="AP47" s="65"/>
      <c r="AQ47" s="65"/>
      <c r="AR47" s="65"/>
      <c r="AS47" s="65"/>
      <c r="AT47" s="65"/>
      <c r="AU47" s="65"/>
      <c r="AV47" s="65">
        <v>0</v>
      </c>
      <c r="AW47" s="65">
        <v>1638437</v>
      </c>
      <c r="AX47" s="65">
        <f>AV47+AW47</f>
        <v>1638437</v>
      </c>
      <c r="AY47" s="65"/>
      <c r="AZ47" s="65"/>
      <c r="BA47" s="65"/>
      <c r="BB47" s="65"/>
      <c r="BC47" s="65"/>
      <c r="BD47" s="65"/>
      <c r="BE47" s="65">
        <v>0</v>
      </c>
      <c r="BF47" s="65">
        <v>250000</v>
      </c>
      <c r="BG47" s="65">
        <f>BE47+BF47</f>
        <v>250000</v>
      </c>
      <c r="BH47" s="65">
        <f t="shared" si="32"/>
        <v>88888.89</v>
      </c>
      <c r="BI47" s="65">
        <f t="shared" si="34"/>
        <v>1888437</v>
      </c>
      <c r="BJ47" s="65">
        <f t="shared" si="35"/>
        <v>1977325.89</v>
      </c>
    </row>
    <row r="48" spans="1:62" ht="13.2" customHeight="1" outlineLevel="1" x14ac:dyDescent="0.25">
      <c r="A48" s="3" t="s">
        <v>78</v>
      </c>
      <c r="B48" s="3"/>
      <c r="C48" s="65">
        <v>39660.129999999997</v>
      </c>
      <c r="D48" s="65">
        <v>0</v>
      </c>
      <c r="E48" s="65">
        <f t="shared" si="7"/>
        <v>39660.129999999997</v>
      </c>
      <c r="F48" s="65">
        <v>0</v>
      </c>
      <c r="G48" s="65">
        <f t="shared" si="27"/>
        <v>0</v>
      </c>
      <c r="H48" s="65">
        <f>F48+G48</f>
        <v>0</v>
      </c>
      <c r="I48" s="64">
        <v>86844.826256183209</v>
      </c>
      <c r="J48" s="65">
        <f t="shared" si="29"/>
        <v>0</v>
      </c>
      <c r="K48" s="65">
        <f t="shared" si="30"/>
        <v>86844.826256183209</v>
      </c>
      <c r="L48" s="65">
        <v>280456.80543947802</v>
      </c>
      <c r="M48" s="65">
        <f t="shared" si="8"/>
        <v>0</v>
      </c>
      <c r="N48" s="65">
        <f t="shared" si="9"/>
        <v>280456.80543947802</v>
      </c>
      <c r="O48" s="65">
        <v>0</v>
      </c>
      <c r="P48" s="65">
        <f t="shared" si="10"/>
        <v>0</v>
      </c>
      <c r="Q48" s="65">
        <f t="shared" si="11"/>
        <v>0</v>
      </c>
      <c r="R48" s="65">
        <v>0</v>
      </c>
      <c r="S48" s="65">
        <v>0</v>
      </c>
      <c r="T48" s="65">
        <f t="shared" si="12"/>
        <v>0</v>
      </c>
      <c r="U48" s="65">
        <v>0</v>
      </c>
      <c r="V48" s="65">
        <v>0</v>
      </c>
      <c r="W48" s="65">
        <f t="shared" si="13"/>
        <v>0</v>
      </c>
      <c r="X48" s="65">
        <v>0</v>
      </c>
      <c r="Y48" s="65">
        <v>0</v>
      </c>
      <c r="Z48" s="65">
        <f t="shared" si="14"/>
        <v>0</v>
      </c>
      <c r="AA48" s="65">
        <v>340700</v>
      </c>
      <c r="AB48" s="65">
        <v>0</v>
      </c>
      <c r="AC48" s="65">
        <f t="shared" si="15"/>
        <v>340700</v>
      </c>
      <c r="AD48" s="65">
        <v>404750</v>
      </c>
      <c r="AE48" s="65">
        <v>0</v>
      </c>
      <c r="AF48" s="65">
        <f t="shared" si="16"/>
        <v>404750</v>
      </c>
      <c r="AG48" s="65">
        <v>59803.185939007693</v>
      </c>
      <c r="AH48" s="65">
        <f t="shared" si="17"/>
        <v>0</v>
      </c>
      <c r="AI48" s="65">
        <f t="shared" si="18"/>
        <v>59803.185939007693</v>
      </c>
      <c r="AJ48" s="65">
        <v>93333.35</v>
      </c>
      <c r="AK48" s="65">
        <v>0</v>
      </c>
      <c r="AL48" s="65">
        <f t="shared" si="19"/>
        <v>93333.35</v>
      </c>
      <c r="AM48" s="65">
        <v>24250</v>
      </c>
      <c r="AN48" s="65">
        <v>0</v>
      </c>
      <c r="AO48" s="65">
        <f t="shared" si="20"/>
        <v>24250</v>
      </c>
      <c r="AP48" s="65"/>
      <c r="AQ48" s="65"/>
      <c r="AR48" s="65"/>
      <c r="AS48" s="65">
        <v>133250</v>
      </c>
      <c r="AT48" s="65">
        <v>0</v>
      </c>
      <c r="AU48" s="65">
        <f t="shared" si="21"/>
        <v>133250</v>
      </c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>
        <f t="shared" si="32"/>
        <v>1463048.2976346689</v>
      </c>
      <c r="BI48" s="65">
        <f t="shared" si="34"/>
        <v>0</v>
      </c>
      <c r="BJ48" s="65">
        <f t="shared" si="35"/>
        <v>1463048.2976346689</v>
      </c>
    </row>
    <row r="49" spans="1:62" ht="13.2" customHeight="1" outlineLevel="1" x14ac:dyDescent="0.25">
      <c r="A49" s="3" t="s">
        <v>79</v>
      </c>
      <c r="B49" s="3"/>
      <c r="C49" s="65">
        <f>-SUM(F49+I49+L49+O49+R49+U49+X49+AA49+AD49+AG49+AJ49+AM49+AP49+AS49)</f>
        <v>-1272428.6575479668</v>
      </c>
      <c r="D49" s="65">
        <f>-SUM(G49+J49+M49+P49+S49+V49+Y49+AB49+AE49+AH49+AK49+AN49+AQ49+AT49)</f>
        <v>-345000</v>
      </c>
      <c r="E49" s="65">
        <f t="shared" si="7"/>
        <v>-1617428.6575479668</v>
      </c>
      <c r="F49" s="65">
        <v>44137.277195416755</v>
      </c>
      <c r="G49" s="65">
        <f t="shared" si="27"/>
        <v>0</v>
      </c>
      <c r="H49" s="65">
        <f>F49+G49</f>
        <v>44137.277195416755</v>
      </c>
      <c r="I49" s="65">
        <v>0</v>
      </c>
      <c r="J49" s="65">
        <f t="shared" si="29"/>
        <v>0</v>
      </c>
      <c r="K49" s="65">
        <f t="shared" si="30"/>
        <v>0</v>
      </c>
      <c r="L49" s="65">
        <v>31700.352963619334</v>
      </c>
      <c r="M49" s="65">
        <f t="shared" si="8"/>
        <v>0</v>
      </c>
      <c r="N49" s="65">
        <f t="shared" si="9"/>
        <v>31700.352963619334</v>
      </c>
      <c r="O49" s="65">
        <v>2999.4909635327999</v>
      </c>
      <c r="P49" s="65">
        <f t="shared" si="10"/>
        <v>0</v>
      </c>
      <c r="Q49" s="65">
        <f t="shared" si="11"/>
        <v>2999.4909635327999</v>
      </c>
      <c r="R49" s="65">
        <v>169836.82</v>
      </c>
      <c r="S49" s="65">
        <v>0</v>
      </c>
      <c r="T49" s="65">
        <f t="shared" si="12"/>
        <v>169836.82</v>
      </c>
      <c r="U49" s="65">
        <v>173348.9</v>
      </c>
      <c r="V49" s="65">
        <v>0</v>
      </c>
      <c r="W49" s="65">
        <f t="shared" si="13"/>
        <v>173348.9</v>
      </c>
      <c r="X49" s="65">
        <v>168805.7</v>
      </c>
      <c r="Y49" s="65">
        <v>0</v>
      </c>
      <c r="Z49" s="65">
        <f t="shared" si="14"/>
        <v>168805.7</v>
      </c>
      <c r="AA49" s="65">
        <v>337511.72</v>
      </c>
      <c r="AB49" s="65">
        <v>0</v>
      </c>
      <c r="AC49" s="65">
        <f t="shared" si="15"/>
        <v>337511.72</v>
      </c>
      <c r="AD49" s="65">
        <v>44661</v>
      </c>
      <c r="AE49" s="65">
        <v>0</v>
      </c>
      <c r="AF49" s="65">
        <f t="shared" si="16"/>
        <v>44661</v>
      </c>
      <c r="AG49" s="65">
        <v>13297.836425397752</v>
      </c>
      <c r="AH49" s="65">
        <f t="shared" si="17"/>
        <v>0</v>
      </c>
      <c r="AI49" s="65">
        <f t="shared" si="18"/>
        <v>13297.836425397752</v>
      </c>
      <c r="AJ49" s="65">
        <v>36546.67</v>
      </c>
      <c r="AK49" s="65">
        <v>0</v>
      </c>
      <c r="AL49" s="65">
        <f t="shared" si="19"/>
        <v>36546.67</v>
      </c>
      <c r="AM49" s="65">
        <v>46203.78</v>
      </c>
      <c r="AN49" s="65">
        <v>0</v>
      </c>
      <c r="AO49" s="65">
        <f t="shared" si="20"/>
        <v>46203.78</v>
      </c>
      <c r="AP49" s="65">
        <v>183174.3</v>
      </c>
      <c r="AQ49" s="65">
        <v>345000</v>
      </c>
      <c r="AR49" s="65">
        <f t="shared" si="26"/>
        <v>528174.30000000005</v>
      </c>
      <c r="AS49" s="65">
        <v>20204.810000000001</v>
      </c>
      <c r="AT49" s="65">
        <v>0</v>
      </c>
      <c r="AU49" s="65">
        <f>AS49+AT49</f>
        <v>20204.810000000001</v>
      </c>
      <c r="AV49" s="65"/>
      <c r="AW49" s="65"/>
      <c r="AX49" s="65"/>
      <c r="AY49" s="65">
        <v>0</v>
      </c>
      <c r="AZ49" s="65">
        <f>19522.73/15*9</f>
        <v>11713.637999999999</v>
      </c>
      <c r="BA49" s="65">
        <f>AY49+AZ49</f>
        <v>11713.637999999999</v>
      </c>
      <c r="BB49" s="65"/>
      <c r="BC49" s="65"/>
      <c r="BD49" s="65"/>
      <c r="BE49" s="65"/>
      <c r="BF49" s="65"/>
      <c r="BG49" s="65"/>
      <c r="BH49" s="65">
        <f t="shared" si="32"/>
        <v>1.4915713109076023E-10</v>
      </c>
      <c r="BI49" s="65">
        <f t="shared" si="34"/>
        <v>11713.637999999999</v>
      </c>
      <c r="BJ49" s="65">
        <f t="shared" si="35"/>
        <v>11713.638000000061</v>
      </c>
    </row>
    <row r="50" spans="1:62" ht="12" customHeight="1" x14ac:dyDescent="0.25">
      <c r="A50" s="2" t="s">
        <v>80</v>
      </c>
      <c r="B50" s="2"/>
      <c r="C50" s="66">
        <f>SUM(C16:C49)-C43</f>
        <v>819428.19715203368</v>
      </c>
      <c r="D50" s="66">
        <f>SUM(D16:D48)-D43</f>
        <v>345000</v>
      </c>
      <c r="E50" s="66">
        <f>SUM(E16:E49)-E43</f>
        <v>819428.19715203368</v>
      </c>
      <c r="F50" s="66">
        <v>902215.12</v>
      </c>
      <c r="G50" s="66">
        <f>SUM(G16:G49)</f>
        <v>0</v>
      </c>
      <c r="H50" s="66">
        <f>SUM(H16:H49)</f>
        <v>902215.11999999988</v>
      </c>
      <c r="I50" s="66">
        <v>736758.51</v>
      </c>
      <c r="J50" s="66">
        <f>SUM(J16:J49)</f>
        <v>0</v>
      </c>
      <c r="K50" s="66">
        <f>SUM(K16:K49)</f>
        <v>736758.51</v>
      </c>
      <c r="L50" s="66">
        <v>578251.46999999986</v>
      </c>
      <c r="M50" s="66">
        <f>+M16+M17+M18+M19+M32+M44+M45+M46+M47+M48+M49</f>
        <v>0</v>
      </c>
      <c r="N50" s="66">
        <f>+N16+N17+N18+N19+N32+N44+N45+N46+N47+N48+N49</f>
        <v>578251.46999999986</v>
      </c>
      <c r="O50" s="66">
        <f>+O16+O17+O18+O19+O32+O44+O45+O46+O47+O48+O49</f>
        <v>119153.75999999998</v>
      </c>
      <c r="P50" s="66">
        <f>+P16+P17+P18+P19+P32+P44+P45+P46+P47+P48+P49</f>
        <v>0</v>
      </c>
      <c r="Q50" s="66">
        <f>+Q16+Q17+Q18+Q19+Q32+Q44+Q45+Q46+Q47+Q48+Q49</f>
        <v>119153.75999999998</v>
      </c>
      <c r="R50" s="66">
        <f t="shared" ref="R50:Z50" si="37">+R16+R17+R18+R19+R32+R44+R45+R46+R47+R48+R49+R23+R22</f>
        <v>1537790.245953358</v>
      </c>
      <c r="S50" s="66">
        <f t="shared" si="37"/>
        <v>0</v>
      </c>
      <c r="T50" s="66">
        <f t="shared" si="37"/>
        <v>1537790.245953358</v>
      </c>
      <c r="U50" s="66">
        <f t="shared" si="37"/>
        <v>1383374.1642362801</v>
      </c>
      <c r="V50" s="66">
        <f t="shared" si="37"/>
        <v>0</v>
      </c>
      <c r="W50" s="66">
        <f t="shared" si="37"/>
        <v>1383374.1642362801</v>
      </c>
      <c r="X50" s="66">
        <f t="shared" si="37"/>
        <v>1901187.1900000002</v>
      </c>
      <c r="Y50" s="66">
        <f t="shared" si="37"/>
        <v>0</v>
      </c>
      <c r="Z50" s="66">
        <f t="shared" si="37"/>
        <v>1901187.1900000002</v>
      </c>
      <c r="AA50" s="66">
        <f t="shared" ref="AA50:AP50" si="38">+AA16+AA17+AA18+AA19+AA32+AA44+AA45+AA46+AA47+AA48+AA49</f>
        <v>3472558.59</v>
      </c>
      <c r="AB50" s="66">
        <f t="shared" si="38"/>
        <v>0</v>
      </c>
      <c r="AC50" s="66">
        <f t="shared" si="38"/>
        <v>3472558.59</v>
      </c>
      <c r="AD50" s="66">
        <f t="shared" si="38"/>
        <v>1089769</v>
      </c>
      <c r="AE50" s="66">
        <f t="shared" si="38"/>
        <v>0</v>
      </c>
      <c r="AF50" s="66">
        <f t="shared" si="38"/>
        <v>1089769</v>
      </c>
      <c r="AG50" s="66">
        <f t="shared" si="38"/>
        <v>281424.99</v>
      </c>
      <c r="AH50" s="66">
        <f t="shared" si="38"/>
        <v>0</v>
      </c>
      <c r="AI50" s="66">
        <f t="shared" si="38"/>
        <v>281424.99</v>
      </c>
      <c r="AJ50" s="66">
        <f t="shared" si="38"/>
        <v>666666.67000000004</v>
      </c>
      <c r="AK50" s="66">
        <f t="shared" si="38"/>
        <v>0</v>
      </c>
      <c r="AL50" s="66">
        <f t="shared" si="38"/>
        <v>666666.67000000004</v>
      </c>
      <c r="AM50" s="66">
        <f t="shared" si="38"/>
        <v>508241.66000000003</v>
      </c>
      <c r="AN50" s="66">
        <f t="shared" si="38"/>
        <v>0</v>
      </c>
      <c r="AO50" s="66">
        <f t="shared" si="38"/>
        <v>508241.66000000003</v>
      </c>
      <c r="AP50" s="66">
        <f t="shared" si="38"/>
        <v>4662067.9899999993</v>
      </c>
      <c r="AQ50" s="66">
        <f>+AQ16+AQ17+AQ18+AQ19+AQ32+AQ44+AQ45+AQ46+AQ47+AQ48+AQ49+AQ37+AQ38+AQ39</f>
        <v>345000</v>
      </c>
      <c r="AR50" s="66">
        <f>+AR16+AR17+AR18+AR19+AR32+AR44+AR45+AR46+AR47+AR48+AR49+AR37+AR38+AR39</f>
        <v>5007067.9899999993</v>
      </c>
      <c r="AS50" s="66">
        <f>+AS16+AS17+AS18+AS19+AS32+AS44+AS45+AS46+AS47+AS48+AS49</f>
        <v>282417.7</v>
      </c>
      <c r="AT50" s="66">
        <f>+AT16+AT17+AT18+AT19+AT32+AT44+AT45+AT46+AT47+AT48+AT49</f>
        <v>0</v>
      </c>
      <c r="AU50" s="66">
        <f>+AU16+AU17+AU18+AU19+AU32+AU44+AU45+AU46+AU47+AU48+AU49</f>
        <v>282417.7</v>
      </c>
      <c r="AV50" s="66">
        <f>SUM(AV14:AV49)</f>
        <v>0</v>
      </c>
      <c r="AW50" s="66">
        <f>SUM(AW14:AW49)</f>
        <v>1638437</v>
      </c>
      <c r="AX50" s="66">
        <f>SUM(AX14:AX49)</f>
        <v>1638437</v>
      </c>
      <c r="AY50" s="66">
        <f t="shared" ref="AY50:BG50" si="39">SUM(AY14:AY49)-AY32</f>
        <v>0</v>
      </c>
      <c r="AZ50" s="66">
        <f t="shared" si="39"/>
        <v>128850</v>
      </c>
      <c r="BA50" s="66">
        <f t="shared" si="39"/>
        <v>128850</v>
      </c>
      <c r="BB50" s="66">
        <f t="shared" si="39"/>
        <v>0</v>
      </c>
      <c r="BC50" s="66">
        <f t="shared" si="39"/>
        <v>49950</v>
      </c>
      <c r="BD50" s="66">
        <f t="shared" si="39"/>
        <v>49950</v>
      </c>
      <c r="BE50" s="66">
        <f t="shared" si="39"/>
        <v>0</v>
      </c>
      <c r="BF50" s="66">
        <f t="shared" si="39"/>
        <v>250000</v>
      </c>
      <c r="BG50" s="66">
        <f t="shared" si="39"/>
        <v>250000</v>
      </c>
      <c r="BH50" s="66">
        <f>+BH16+BH17+BH18+BH19+BH32+BH44+BH45+BH46+BH47+BH48+BH49+BH22+BH23+BH33+BH34+BH35+BH36+BH37+BH38+BH40+BH39+BH41+BH42</f>
        <v>18941305.257341672</v>
      </c>
      <c r="BI50" s="66">
        <f>+BI16+BI17+BI18+BI19+BI32+BI44+BI45+BI46+BI47+BI48+BI49+BI22+BI23+BI33+BI34+BI35+BI36+BI37+BI38+BI40+BI39+BI41+BI42</f>
        <v>2412237</v>
      </c>
      <c r="BJ50" s="66">
        <f>+BJ16+BJ17+BJ18+BJ19+BJ32+BJ44+BJ45+BJ46+BJ47+BJ48+BJ49+BJ22+BJ23+BJ33+BJ34+BJ35+BJ36+BJ37+BJ38+BJ40+BJ39+BJ41+BJ42</f>
        <v>21353542.257341672</v>
      </c>
    </row>
    <row r="51" spans="1:62" x14ac:dyDescent="0.25">
      <c r="C51" s="64"/>
      <c r="D51" s="64"/>
      <c r="E51" s="64"/>
      <c r="F51" s="64"/>
      <c r="G51" s="64"/>
      <c r="H51" s="64"/>
      <c r="I51" s="66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</row>
    <row r="52" spans="1:62" ht="9" customHeight="1" x14ac:dyDescent="0.25">
      <c r="A52" s="3"/>
      <c r="B52" s="3"/>
      <c r="C52" s="71"/>
      <c r="D52" s="71"/>
      <c r="E52" s="71"/>
      <c r="F52" s="71"/>
      <c r="G52" s="71"/>
      <c r="H52" s="71"/>
      <c r="I52" s="64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</row>
    <row r="53" spans="1:62" ht="12.45" customHeight="1" x14ac:dyDescent="0.25">
      <c r="A53" s="19"/>
      <c r="B53" s="19"/>
      <c r="C53" s="74" t="s">
        <v>18</v>
      </c>
      <c r="D53" s="74"/>
      <c r="E53" s="74"/>
      <c r="F53" s="74" t="s">
        <v>19</v>
      </c>
      <c r="G53" s="74"/>
      <c r="H53" s="74"/>
      <c r="I53" s="74" t="s">
        <v>20</v>
      </c>
      <c r="J53" s="74"/>
      <c r="K53" s="74"/>
      <c r="L53" s="74" t="s">
        <v>21</v>
      </c>
      <c r="M53" s="74"/>
      <c r="N53" s="74"/>
      <c r="O53" s="74" t="s">
        <v>81</v>
      </c>
      <c r="P53" s="74"/>
      <c r="Q53" s="74"/>
      <c r="R53" s="74" t="s">
        <v>23</v>
      </c>
      <c r="S53" s="74"/>
      <c r="T53" s="74"/>
      <c r="U53" s="74" t="s">
        <v>82</v>
      </c>
      <c r="V53" s="74"/>
      <c r="W53" s="74"/>
      <c r="X53" s="74" t="s">
        <v>25</v>
      </c>
      <c r="Y53" s="74"/>
      <c r="Z53" s="74"/>
      <c r="AA53" s="74" t="s">
        <v>26</v>
      </c>
      <c r="AB53" s="74"/>
      <c r="AC53" s="74"/>
      <c r="AD53" s="74" t="s">
        <v>27</v>
      </c>
      <c r="AE53" s="74"/>
      <c r="AF53" s="74"/>
      <c r="AG53" s="74" t="s">
        <v>28</v>
      </c>
      <c r="AH53" s="74"/>
      <c r="AI53" s="74"/>
      <c r="AJ53" s="74" t="s">
        <v>29</v>
      </c>
      <c r="AK53" s="74"/>
      <c r="AL53" s="74"/>
      <c r="AM53" s="74" t="s">
        <v>30</v>
      </c>
      <c r="AN53" s="74"/>
      <c r="AO53" s="74"/>
      <c r="AP53" s="74" t="s">
        <v>31</v>
      </c>
      <c r="AQ53" s="74"/>
      <c r="AR53" s="74"/>
      <c r="AS53" s="74" t="s">
        <v>32</v>
      </c>
      <c r="AT53" s="74"/>
      <c r="AU53" s="74"/>
      <c r="AV53" s="74" t="s">
        <v>33</v>
      </c>
      <c r="AW53" s="74"/>
      <c r="AX53" s="74"/>
      <c r="AY53" s="74" t="s">
        <v>34</v>
      </c>
      <c r="AZ53" s="74"/>
      <c r="BA53" s="74"/>
      <c r="BB53" s="74" t="s">
        <v>83</v>
      </c>
      <c r="BC53" s="74"/>
      <c r="BD53" s="74"/>
      <c r="BE53" s="74" t="s">
        <v>36</v>
      </c>
      <c r="BF53" s="74"/>
      <c r="BG53" s="74"/>
      <c r="BH53" s="81" t="s">
        <v>37</v>
      </c>
      <c r="BI53" s="81"/>
      <c r="BJ53" s="81"/>
    </row>
    <row r="54" spans="1:62" ht="12.75" customHeight="1" x14ac:dyDescent="0.25"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</row>
    <row r="55" spans="1:62" ht="13.2" customHeight="1" x14ac:dyDescent="0.25">
      <c r="A55" s="2" t="s">
        <v>84</v>
      </c>
      <c r="B55" s="2"/>
      <c r="C55" s="72">
        <f t="shared" ref="C55:AH55" si="40">+C12-C50</f>
        <v>-819428.19715203368</v>
      </c>
      <c r="D55" s="72">
        <f t="shared" si="40"/>
        <v>-345000</v>
      </c>
      <c r="E55" s="72">
        <f t="shared" si="40"/>
        <v>-819428.19715203368</v>
      </c>
      <c r="F55" s="72">
        <f t="shared" si="40"/>
        <v>0</v>
      </c>
      <c r="G55" s="72">
        <f t="shared" si="40"/>
        <v>0</v>
      </c>
      <c r="H55" s="72">
        <f t="shared" si="40"/>
        <v>0</v>
      </c>
      <c r="I55" s="72">
        <f t="shared" si="40"/>
        <v>0</v>
      </c>
      <c r="J55" s="72">
        <f t="shared" si="40"/>
        <v>0</v>
      </c>
      <c r="K55" s="72">
        <f t="shared" si="40"/>
        <v>0</v>
      </c>
      <c r="L55" s="72">
        <f t="shared" si="40"/>
        <v>0</v>
      </c>
      <c r="M55" s="72">
        <f t="shared" si="40"/>
        <v>0</v>
      </c>
      <c r="N55" s="72">
        <f t="shared" si="40"/>
        <v>0</v>
      </c>
      <c r="O55" s="72">
        <f t="shared" si="40"/>
        <v>0</v>
      </c>
      <c r="P55" s="72">
        <f t="shared" si="40"/>
        <v>0</v>
      </c>
      <c r="Q55" s="72">
        <f t="shared" si="40"/>
        <v>0</v>
      </c>
      <c r="R55" s="72">
        <f t="shared" si="40"/>
        <v>352802.35404664185</v>
      </c>
      <c r="S55" s="72">
        <f t="shared" si="40"/>
        <v>0</v>
      </c>
      <c r="T55" s="72">
        <f t="shared" si="40"/>
        <v>352802.35404664185</v>
      </c>
      <c r="U55" s="72">
        <f t="shared" si="40"/>
        <v>177375.23576372</v>
      </c>
      <c r="V55" s="72">
        <f t="shared" si="40"/>
        <v>0</v>
      </c>
      <c r="W55" s="72">
        <f t="shared" si="40"/>
        <v>177375.23576372</v>
      </c>
      <c r="X55" s="72">
        <f t="shared" si="40"/>
        <v>289250.60999999964</v>
      </c>
      <c r="Y55" s="72">
        <f t="shared" si="40"/>
        <v>0</v>
      </c>
      <c r="Z55" s="72">
        <f t="shared" si="40"/>
        <v>289250.60999999964</v>
      </c>
      <c r="AA55" s="72">
        <f t="shared" si="40"/>
        <v>0</v>
      </c>
      <c r="AB55" s="72">
        <f t="shared" si="40"/>
        <v>0</v>
      </c>
      <c r="AC55" s="72">
        <f t="shared" si="40"/>
        <v>0</v>
      </c>
      <c r="AD55" s="72">
        <f t="shared" si="40"/>
        <v>0</v>
      </c>
      <c r="AE55" s="72">
        <f t="shared" si="40"/>
        <v>0</v>
      </c>
      <c r="AF55" s="72">
        <f t="shared" si="40"/>
        <v>0</v>
      </c>
      <c r="AG55" s="72">
        <f t="shared" si="40"/>
        <v>0</v>
      </c>
      <c r="AH55" s="72">
        <f t="shared" si="40"/>
        <v>0</v>
      </c>
      <c r="AI55" s="72">
        <f t="shared" ref="AI55:BJ55" si="41">+AI12-AI50</f>
        <v>0</v>
      </c>
      <c r="AJ55" s="72">
        <f t="shared" si="41"/>
        <v>0</v>
      </c>
      <c r="AK55" s="72">
        <f t="shared" si="41"/>
        <v>0</v>
      </c>
      <c r="AL55" s="72">
        <f t="shared" si="41"/>
        <v>0</v>
      </c>
      <c r="AM55" s="72">
        <f t="shared" si="41"/>
        <v>0</v>
      </c>
      <c r="AN55" s="72">
        <f t="shared" si="41"/>
        <v>0</v>
      </c>
      <c r="AO55" s="72">
        <f t="shared" si="41"/>
        <v>0</v>
      </c>
      <c r="AP55" s="72">
        <f t="shared" si="41"/>
        <v>0</v>
      </c>
      <c r="AQ55" s="72">
        <f t="shared" si="41"/>
        <v>0</v>
      </c>
      <c r="AR55" s="72">
        <f t="shared" si="41"/>
        <v>0</v>
      </c>
      <c r="AS55" s="72">
        <f t="shared" si="41"/>
        <v>0</v>
      </c>
      <c r="AT55" s="72">
        <f t="shared" si="41"/>
        <v>0</v>
      </c>
      <c r="AU55" s="72">
        <f t="shared" si="41"/>
        <v>0</v>
      </c>
      <c r="AV55" s="72">
        <f t="shared" si="41"/>
        <v>0</v>
      </c>
      <c r="AW55" s="72">
        <f t="shared" si="41"/>
        <v>0</v>
      </c>
      <c r="AX55" s="72">
        <f t="shared" si="41"/>
        <v>0</v>
      </c>
      <c r="AY55" s="72">
        <f t="shared" si="41"/>
        <v>0</v>
      </c>
      <c r="AZ55" s="72">
        <f t="shared" si="41"/>
        <v>0</v>
      </c>
      <c r="BA55" s="72">
        <f t="shared" si="41"/>
        <v>0</v>
      </c>
      <c r="BB55" s="72">
        <f t="shared" si="41"/>
        <v>0</v>
      </c>
      <c r="BC55" s="72">
        <f t="shared" si="41"/>
        <v>0</v>
      </c>
      <c r="BD55" s="72">
        <f t="shared" si="41"/>
        <v>0</v>
      </c>
      <c r="BE55" s="72">
        <f t="shared" si="41"/>
        <v>0</v>
      </c>
      <c r="BF55" s="72">
        <f t="shared" si="41"/>
        <v>0</v>
      </c>
      <c r="BG55" s="72">
        <f t="shared" si="41"/>
        <v>0</v>
      </c>
      <c r="BH55" s="72">
        <f t="shared" si="41"/>
        <v>2.6583261787891388E-3</v>
      </c>
      <c r="BI55" s="72">
        <f t="shared" si="41"/>
        <v>0</v>
      </c>
      <c r="BJ55" s="72">
        <f t="shared" si="41"/>
        <v>2.6583261787891388E-3</v>
      </c>
    </row>
    <row r="56" spans="1:62" ht="13.2" customHeight="1" x14ac:dyDescent="0.25">
      <c r="C56" s="61"/>
      <c r="D56" s="61"/>
      <c r="E56" s="61"/>
      <c r="F56" s="61"/>
      <c r="G56" s="61"/>
      <c r="H56" s="61"/>
      <c r="I56" s="16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</row>
    <row r="57" spans="1:62" ht="12.45" customHeight="1" thickBot="1" x14ac:dyDescent="0.3">
      <c r="A57" s="2" t="s">
        <v>85</v>
      </c>
      <c r="B57" s="2"/>
      <c r="C57" s="17" t="s">
        <v>46</v>
      </c>
      <c r="D57" s="17"/>
      <c r="E57" s="17"/>
      <c r="F57" s="17" t="s">
        <v>46</v>
      </c>
      <c r="G57" s="17"/>
      <c r="H57" s="17"/>
      <c r="I57" s="17"/>
      <c r="J57" s="17"/>
      <c r="K57" s="17"/>
      <c r="L57" s="17" t="s">
        <v>46</v>
      </c>
      <c r="M57" s="17"/>
      <c r="N57" s="17"/>
      <c r="O57" s="17" t="s">
        <v>46</v>
      </c>
      <c r="P57" s="17"/>
      <c r="Q57" s="17"/>
      <c r="R57" s="17" t="s">
        <v>46</v>
      </c>
      <c r="S57" s="17"/>
      <c r="T57" s="17"/>
      <c r="U57" s="17"/>
      <c r="V57" s="17"/>
      <c r="W57" s="17"/>
      <c r="X57" s="17"/>
      <c r="Y57" s="17"/>
      <c r="Z57" s="17"/>
      <c r="AA57" s="17" t="s">
        <v>46</v>
      </c>
      <c r="AB57" s="17"/>
      <c r="AC57" s="17"/>
      <c r="AD57" s="17" t="s">
        <v>46</v>
      </c>
      <c r="AE57" s="17"/>
      <c r="AF57" s="17"/>
      <c r="AG57" s="17" t="s">
        <v>46</v>
      </c>
      <c r="AH57" s="17"/>
      <c r="AI57" s="17"/>
      <c r="AJ57" s="17" t="s">
        <v>46</v>
      </c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 t="s">
        <v>46</v>
      </c>
      <c r="BI57" s="17" t="s">
        <v>46</v>
      </c>
      <c r="BJ57" s="17" t="s">
        <v>46</v>
      </c>
    </row>
    <row r="58" spans="1:62" ht="13.2" customHeight="1" thickTop="1" x14ac:dyDescent="0.25"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</row>
    <row r="59" spans="1:62" ht="13.2" customHeight="1" x14ac:dyDescent="0.25">
      <c r="I59" s="60"/>
      <c r="AP59" s="45" t="s">
        <v>46</v>
      </c>
      <c r="AQ59" s="45"/>
      <c r="AR59" s="45"/>
    </row>
    <row r="60" spans="1:62" ht="13.2" customHeight="1" x14ac:dyDescent="0.25">
      <c r="I60" s="60"/>
    </row>
    <row r="61" spans="1:62" ht="13.2" customHeight="1" x14ac:dyDescent="0.25">
      <c r="I61" s="60"/>
    </row>
    <row r="62" spans="1:62" ht="13.2" customHeight="1" x14ac:dyDescent="0.25">
      <c r="I62" s="60"/>
      <c r="U62" s="5" t="s">
        <v>46</v>
      </c>
    </row>
    <row r="63" spans="1:62" ht="10.95" hidden="1" customHeight="1" x14ac:dyDescent="0.25">
      <c r="B63" s="44" t="s">
        <v>86</v>
      </c>
      <c r="I63" s="60"/>
      <c r="R63" s="57" t="s">
        <v>87</v>
      </c>
      <c r="S63" s="57"/>
      <c r="T63" s="57"/>
      <c r="U63" s="57" t="s">
        <v>88</v>
      </c>
      <c r="V63" s="57"/>
      <c r="W63" s="57"/>
      <c r="X63" s="57" t="s">
        <v>89</v>
      </c>
      <c r="Y63" s="57"/>
      <c r="Z63" s="57"/>
      <c r="AA63" s="43" t="s">
        <v>90</v>
      </c>
      <c r="AB63" s="43"/>
      <c r="AC63" s="43"/>
    </row>
    <row r="64" spans="1:62" ht="16.05" hidden="1" customHeight="1" x14ac:dyDescent="0.25">
      <c r="B64" s="44" t="s">
        <v>91</v>
      </c>
      <c r="I64" s="60"/>
      <c r="R64" s="5">
        <v>1520080.2</v>
      </c>
      <c r="U64" s="5">
        <v>2004652.8</v>
      </c>
      <c r="X64" s="5">
        <v>1626624</v>
      </c>
      <c r="AA64" s="5">
        <f>SUM(R64:U64)</f>
        <v>3524733</v>
      </c>
    </row>
    <row r="65" spans="2:30" ht="16.05" hidden="1" customHeight="1" x14ac:dyDescent="0.25">
      <c r="B65" s="44" t="s">
        <v>92</v>
      </c>
      <c r="I65" s="60" t="s">
        <v>46</v>
      </c>
      <c r="R65" s="5">
        <v>168897.8</v>
      </c>
      <c r="U65" s="5">
        <v>222739.20000000001</v>
      </c>
      <c r="X65" s="5">
        <v>180736</v>
      </c>
      <c r="AA65" s="5">
        <f>SUM(R65:U65)</f>
        <v>391637</v>
      </c>
      <c r="AD65" s="5" t="s">
        <v>46</v>
      </c>
    </row>
    <row r="66" spans="2:30" ht="16.05" hidden="1" customHeight="1" x14ac:dyDescent="0.25">
      <c r="I66" s="60"/>
    </row>
    <row r="67" spans="2:30" ht="16.05" hidden="1" customHeight="1" x14ac:dyDescent="0.25">
      <c r="B67" s="44" t="s">
        <v>93</v>
      </c>
      <c r="I67" s="60"/>
      <c r="R67" s="5">
        <f>+R64*0.25</f>
        <v>380020.05</v>
      </c>
      <c r="U67" s="5">
        <f>+U64*0.25</f>
        <v>501163.2</v>
      </c>
      <c r="X67" s="5">
        <f>+X64*0.4</f>
        <v>650649.60000000009</v>
      </c>
    </row>
    <row r="68" spans="2:30" ht="16.05" hidden="1" customHeight="1" x14ac:dyDescent="0.25">
      <c r="B68" s="44" t="s">
        <v>94</v>
      </c>
      <c r="R68" s="5">
        <f>+R65*0.25</f>
        <v>42224.45</v>
      </c>
      <c r="U68" s="5">
        <f>+U65*0.25</f>
        <v>55684.800000000003</v>
      </c>
      <c r="X68" s="5">
        <f>+X65*0.4</f>
        <v>72294.400000000009</v>
      </c>
    </row>
    <row r="69" spans="2:30" ht="16.05" hidden="1" customHeight="1" x14ac:dyDescent="0.25">
      <c r="B69" s="18" t="s">
        <v>95</v>
      </c>
      <c r="R69" s="47">
        <v>0.25</v>
      </c>
      <c r="S69" s="47"/>
      <c r="T69" s="47"/>
      <c r="U69" s="28">
        <v>0.25</v>
      </c>
      <c r="V69" s="28"/>
      <c r="W69" s="28"/>
      <c r="X69" s="28">
        <v>0.4</v>
      </c>
      <c r="Y69" s="28"/>
      <c r="Z69" s="28"/>
    </row>
    <row r="70" spans="2:30" ht="16.05" hidden="1" customHeight="1" x14ac:dyDescent="0.25"/>
    <row r="71" spans="2:30" ht="16.05" hidden="1" customHeight="1" x14ac:dyDescent="0.25">
      <c r="B71" s="18" t="s">
        <v>96</v>
      </c>
      <c r="R71" s="5">
        <f t="shared" ref="R71:X73" si="42">+R65*0.25</f>
        <v>42224.45</v>
      </c>
      <c r="U71" s="5">
        <f t="shared" si="42"/>
        <v>55684.800000000003</v>
      </c>
      <c r="X71" s="5">
        <f t="shared" si="42"/>
        <v>45184</v>
      </c>
    </row>
    <row r="72" spans="2:30" ht="16.05" hidden="1" customHeight="1" x14ac:dyDescent="0.25">
      <c r="B72" s="18" t="s">
        <v>97</v>
      </c>
      <c r="C72" s="5">
        <v>1519077.94</v>
      </c>
      <c r="L72" s="45" t="s">
        <v>46</v>
      </c>
      <c r="M72" s="45"/>
      <c r="N72" s="45"/>
      <c r="O72" s="45" t="s">
        <v>46</v>
      </c>
      <c r="P72" s="45"/>
      <c r="Q72" s="45"/>
      <c r="R72" s="5">
        <f t="shared" si="42"/>
        <v>0</v>
      </c>
      <c r="U72" s="5">
        <f t="shared" si="42"/>
        <v>0</v>
      </c>
      <c r="X72" s="5">
        <f t="shared" si="42"/>
        <v>0</v>
      </c>
    </row>
    <row r="73" spans="2:30" ht="16.05" hidden="1" customHeight="1" x14ac:dyDescent="0.25">
      <c r="B73" s="18" t="s">
        <v>98</v>
      </c>
      <c r="C73" s="5">
        <f>+Staffing!D56</f>
        <v>2544556.5600000005</v>
      </c>
      <c r="R73" s="5">
        <f t="shared" si="42"/>
        <v>95005.012499999997</v>
      </c>
      <c r="U73" s="5">
        <f t="shared" si="42"/>
        <v>125290.8</v>
      </c>
      <c r="X73" s="5">
        <f t="shared" si="42"/>
        <v>162662.40000000002</v>
      </c>
    </row>
    <row r="74" spans="2:30" ht="16.05" hidden="1" customHeight="1" x14ac:dyDescent="0.25">
      <c r="B74" s="44" t="s">
        <v>99</v>
      </c>
      <c r="R74" s="5">
        <f>+R71*0.25</f>
        <v>10556.112499999999</v>
      </c>
      <c r="U74" s="5">
        <f t="shared" ref="U74" si="43">+U71*0.25</f>
        <v>13921.2</v>
      </c>
      <c r="X74" s="5">
        <f>+X71*0.25</f>
        <v>11296</v>
      </c>
    </row>
    <row r="75" spans="2:30" ht="1.05" hidden="1" customHeight="1" x14ac:dyDescent="0.25">
      <c r="R75" s="5">
        <f>+R72*0.25</f>
        <v>0</v>
      </c>
      <c r="U75" s="5">
        <f t="shared" ref="U75" si="44">+U72*0.25</f>
        <v>0</v>
      </c>
      <c r="X75" s="5">
        <f>+X72*0.25</f>
        <v>0</v>
      </c>
    </row>
    <row r="76" spans="2:30" ht="13.2" hidden="1" customHeight="1" x14ac:dyDescent="0.25">
      <c r="R76" s="5">
        <f>+R64-R67</f>
        <v>1140060.1499999999</v>
      </c>
      <c r="U76" s="5">
        <f t="shared" ref="U76:X76" si="45">+U64-U67</f>
        <v>1503489.6</v>
      </c>
      <c r="X76" s="5">
        <f t="shared" si="45"/>
        <v>975974.39999999991</v>
      </c>
    </row>
    <row r="77" spans="2:30" ht="13.2" hidden="1" customHeight="1" x14ac:dyDescent="0.25">
      <c r="R77" s="5">
        <f>+R65*R69</f>
        <v>42224.45</v>
      </c>
      <c r="U77" s="5">
        <f>+U65*U69</f>
        <v>55684.800000000003</v>
      </c>
      <c r="X77" s="5">
        <f>+X65*X69</f>
        <v>72294.400000000009</v>
      </c>
    </row>
    <row r="78" spans="2:30" ht="13.2" hidden="1" customHeight="1" x14ac:dyDescent="0.25">
      <c r="R78" s="5">
        <f>+R76+R77</f>
        <v>1182284.5999999999</v>
      </c>
      <c r="U78" s="5">
        <f t="shared" ref="U78:X78" si="46">+U76+U77</f>
        <v>1559174.4000000001</v>
      </c>
      <c r="X78" s="5">
        <f t="shared" si="46"/>
        <v>1048268.7999999999</v>
      </c>
    </row>
    <row r="79" spans="2:30" ht="13.2" hidden="1" customHeight="1" x14ac:dyDescent="0.25"/>
    <row r="80" spans="2:30" ht="13.2" hidden="1" customHeight="1" x14ac:dyDescent="0.25">
      <c r="O80" s="5" t="s">
        <v>100</v>
      </c>
    </row>
    <row r="81" spans="12:62" ht="13.2" hidden="1" customHeight="1" x14ac:dyDescent="0.25">
      <c r="O81" s="45" t="s">
        <v>101</v>
      </c>
      <c r="P81" s="45"/>
      <c r="Q81" s="45"/>
      <c r="R81" s="51">
        <v>1044000</v>
      </c>
      <c r="S81" s="51"/>
      <c r="T81" s="51"/>
      <c r="U81" s="51">
        <v>274500</v>
      </c>
      <c r="V81" s="51"/>
      <c r="W81" s="51"/>
      <c r="X81" s="51">
        <v>600750</v>
      </c>
      <c r="Y81" s="51"/>
      <c r="Z81" s="51"/>
    </row>
    <row r="82" spans="12:62" ht="13.2" hidden="1" customHeight="1" x14ac:dyDescent="0.25">
      <c r="O82" s="5" t="s">
        <v>102</v>
      </c>
      <c r="R82" s="51">
        <v>1276000</v>
      </c>
      <c r="S82" s="51"/>
      <c r="T82" s="51"/>
      <c r="U82" s="51">
        <v>335500</v>
      </c>
      <c r="V82" s="51"/>
      <c r="W82" s="51"/>
      <c r="X82" s="51">
        <v>734250</v>
      </c>
      <c r="Y82" s="51"/>
      <c r="Z82" s="51"/>
    </row>
    <row r="83" spans="12:62" ht="13.2" hidden="1" customHeight="1" x14ac:dyDescent="0.25">
      <c r="O83" s="5" t="s">
        <v>103</v>
      </c>
      <c r="R83" s="5">
        <f>SUM(R81:R82)</f>
        <v>2320000</v>
      </c>
      <c r="U83" s="5">
        <f t="shared" ref="U83" si="47">SUM(U81:U82)</f>
        <v>610000</v>
      </c>
      <c r="X83" s="5">
        <f>SUM(X81:X82)</f>
        <v>1335000</v>
      </c>
    </row>
    <row r="84" spans="12:62" ht="13.2" hidden="1" customHeight="1" x14ac:dyDescent="0.25">
      <c r="O84" s="5" t="s">
        <v>104</v>
      </c>
      <c r="R84" s="45">
        <f>+R83/1.1</f>
        <v>2109090.9090909087</v>
      </c>
      <c r="S84" s="45"/>
      <c r="T84" s="45"/>
      <c r="U84" s="45">
        <f t="shared" ref="U84:X84" si="48">+U83/1.1</f>
        <v>554545.45454545447</v>
      </c>
      <c r="V84" s="45"/>
      <c r="W84" s="45"/>
      <c r="X84" s="45">
        <f t="shared" si="48"/>
        <v>1213636.3636363635</v>
      </c>
      <c r="Y84" s="45"/>
      <c r="Z84" s="45"/>
    </row>
    <row r="85" spans="12:62" ht="12.45" hidden="1" customHeight="1" x14ac:dyDescent="0.25">
      <c r="AJ85" s="43" t="s">
        <v>87</v>
      </c>
      <c r="AK85" s="43"/>
      <c r="AL85" s="43"/>
      <c r="AM85" s="43" t="s">
        <v>88</v>
      </c>
      <c r="AN85" s="43"/>
      <c r="AO85" s="43"/>
      <c r="AP85" s="43" t="s">
        <v>90</v>
      </c>
      <c r="AQ85" s="43"/>
      <c r="AR85" s="43"/>
      <c r="AS85" s="43" t="s">
        <v>89</v>
      </c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</row>
    <row r="86" spans="12:62" ht="13.2" hidden="1" customHeight="1" x14ac:dyDescent="0.25">
      <c r="R86" s="48">
        <f>+R84/R12</f>
        <v>1.1155713341366664</v>
      </c>
      <c r="S86" s="48"/>
      <c r="T86" s="48"/>
      <c r="U86" s="48">
        <v>0.71458968636238474</v>
      </c>
      <c r="V86" s="48"/>
      <c r="W86" s="48"/>
      <c r="X86" s="48">
        <v>0.71458968636238474</v>
      </c>
      <c r="Y86" s="48"/>
      <c r="Z86" s="48"/>
      <c r="AG86" s="5" t="s">
        <v>105</v>
      </c>
      <c r="AJ86" s="53">
        <f>R83-(R83*0.1)</f>
        <v>2088000</v>
      </c>
      <c r="AK86" s="53"/>
      <c r="AL86" s="53"/>
      <c r="AM86" s="53">
        <f t="shared" ref="AM86" si="49">U83-(U83*0.1)</f>
        <v>549000</v>
      </c>
      <c r="AN86" s="53"/>
      <c r="AO86" s="53"/>
      <c r="AP86" s="53">
        <f>SUM(AJ86:AM86)</f>
        <v>2637000</v>
      </c>
      <c r="AQ86" s="53"/>
      <c r="AR86" s="53"/>
      <c r="AS86" s="53">
        <f>X83-(X83*0.1)</f>
        <v>1201500</v>
      </c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>
        <f>SUM(AP86:AS86)</f>
        <v>3838500</v>
      </c>
      <c r="BI86" s="53"/>
      <c r="BJ86" s="53"/>
    </row>
    <row r="87" spans="12:62" ht="13.2" hidden="1" customHeight="1" x14ac:dyDescent="0.25">
      <c r="O87" s="45" t="s">
        <v>106</v>
      </c>
      <c r="P87" s="45"/>
      <c r="Q87" s="45"/>
      <c r="R87" s="50">
        <f>+R12*R86</f>
        <v>2109090.9090909087</v>
      </c>
      <c r="S87" s="50"/>
      <c r="T87" s="50"/>
      <c r="U87" s="50">
        <f>+U12*U86</f>
        <v>1115295.4242362801</v>
      </c>
      <c r="V87" s="50"/>
      <c r="W87" s="50"/>
      <c r="X87" s="50">
        <f>+X12*X86</f>
        <v>1565264.2604983118</v>
      </c>
      <c r="Y87" s="50"/>
      <c r="Z87" s="50"/>
      <c r="AG87" s="5" t="s">
        <v>107</v>
      </c>
      <c r="AJ87" s="54">
        <v>1279428.3859533579</v>
      </c>
      <c r="AK87" s="54"/>
      <c r="AL87" s="54"/>
      <c r="AM87" s="54">
        <v>1115295.4242362801</v>
      </c>
      <c r="AN87" s="54"/>
      <c r="AO87" s="54"/>
      <c r="AP87" s="5">
        <f>SUM(AJ87:AM87)</f>
        <v>2394723.8101896383</v>
      </c>
      <c r="AS87" s="54">
        <v>1279428.3859533579</v>
      </c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3">
        <f>SUM(AP87:AS87)</f>
        <v>3674152.1961429962</v>
      </c>
      <c r="BI87" s="53"/>
      <c r="BJ87" s="53"/>
    </row>
    <row r="88" spans="12:62" ht="13.2" hidden="1" customHeight="1" x14ac:dyDescent="0.25"/>
    <row r="89" spans="12:62" ht="13.2" hidden="1" customHeight="1" x14ac:dyDescent="0.25"/>
    <row r="90" spans="12:62" ht="13.2" hidden="1" customHeight="1" x14ac:dyDescent="0.25">
      <c r="O90" s="49">
        <v>24</v>
      </c>
      <c r="P90" s="49"/>
      <c r="Q90" s="49"/>
      <c r="R90" s="5">
        <f>+R83+U83+X83</f>
        <v>4265000</v>
      </c>
      <c r="U90" s="5">
        <f>+R64+R65+U64+U65+X64+X65</f>
        <v>5723730</v>
      </c>
      <c r="AP90" s="5">
        <f>AP87/4</f>
        <v>598680.95254740957</v>
      </c>
    </row>
    <row r="91" spans="12:62" ht="13.2" customHeight="1" x14ac:dyDescent="0.25">
      <c r="O91" s="49">
        <v>25</v>
      </c>
      <c r="P91" s="49"/>
      <c r="Q91" s="49"/>
      <c r="R91" s="5">
        <f>+R87+U87+X87</f>
        <v>4789650.5938255005</v>
      </c>
      <c r="U91" s="5">
        <f>+R67+R68+U67+U68+X67+X68</f>
        <v>1702036.5</v>
      </c>
    </row>
    <row r="92" spans="12:62" ht="13.2" customHeight="1" x14ac:dyDescent="0.25"/>
    <row r="93" spans="12:62" ht="13.2" customHeight="1" x14ac:dyDescent="0.25">
      <c r="R93" s="5">
        <f>+R90-R91</f>
        <v>-524650.59382550046</v>
      </c>
      <c r="U93" s="5">
        <f>+U90-U91</f>
        <v>4021693.5</v>
      </c>
    </row>
    <row r="94" spans="12:62" ht="13.2" customHeight="1" x14ac:dyDescent="0.25">
      <c r="R94" s="5" t="s">
        <v>46</v>
      </c>
    </row>
    <row r="95" spans="12:62" x14ac:dyDescent="0.25">
      <c r="R95" s="52" t="s">
        <v>87</v>
      </c>
      <c r="S95" s="52"/>
      <c r="T95" s="52"/>
      <c r="U95" s="52" t="s">
        <v>88</v>
      </c>
      <c r="V95" s="52"/>
      <c r="W95" s="52"/>
      <c r="X95" s="52" t="s">
        <v>90</v>
      </c>
      <c r="Y95" s="52"/>
      <c r="Z95" s="52"/>
      <c r="AA95" s="52" t="s">
        <v>89</v>
      </c>
      <c r="AB95" s="52"/>
      <c r="AC95" s="52"/>
    </row>
    <row r="96" spans="12:62" x14ac:dyDescent="0.25">
      <c r="L96" s="5" t="s">
        <v>108</v>
      </c>
      <c r="R96" s="53">
        <v>1044000</v>
      </c>
      <c r="S96" s="53"/>
      <c r="T96" s="53"/>
      <c r="U96" s="53">
        <v>274500</v>
      </c>
      <c r="V96" s="53"/>
      <c r="W96" s="53"/>
      <c r="X96" s="53">
        <f>SUM(R96:U96)</f>
        <v>1318500</v>
      </c>
      <c r="Y96" s="53"/>
      <c r="Z96" s="53"/>
      <c r="AA96" s="53">
        <v>600700</v>
      </c>
      <c r="AB96" s="53"/>
      <c r="AC96" s="53"/>
    </row>
    <row r="97" spans="12:62" x14ac:dyDescent="0.25">
      <c r="L97" s="5" t="s">
        <v>109</v>
      </c>
      <c r="R97" s="53">
        <v>1276000</v>
      </c>
      <c r="S97" s="53"/>
      <c r="T97" s="53"/>
      <c r="U97" s="53">
        <v>335500</v>
      </c>
      <c r="V97" s="53"/>
      <c r="W97" s="53"/>
      <c r="X97" s="53">
        <f>SUM(R97:U97)</f>
        <v>1611500</v>
      </c>
      <c r="Y97" s="53"/>
      <c r="Z97" s="53"/>
      <c r="AA97" s="53">
        <v>734250</v>
      </c>
      <c r="AB97" s="53"/>
      <c r="AC97" s="53"/>
    </row>
    <row r="98" spans="12:62" x14ac:dyDescent="0.25">
      <c r="L98" s="5" t="s">
        <v>37</v>
      </c>
      <c r="R98" s="53">
        <f>SUM(R96:R97)</f>
        <v>2320000</v>
      </c>
      <c r="S98" s="53"/>
      <c r="T98" s="53"/>
      <c r="U98" s="53">
        <f>SUM(U96:U97)</f>
        <v>610000</v>
      </c>
      <c r="V98" s="53"/>
      <c r="W98" s="53"/>
      <c r="X98" s="53">
        <f>SUM(R98:U98)</f>
        <v>2930000</v>
      </c>
      <c r="Y98" s="53"/>
      <c r="Z98" s="53"/>
      <c r="AA98" s="53">
        <v>1213636.3636363635</v>
      </c>
      <c r="AB98" s="53"/>
      <c r="AC98" s="53"/>
    </row>
    <row r="99" spans="12:62" x14ac:dyDescent="0.25">
      <c r="L99" s="5" t="s">
        <v>110</v>
      </c>
      <c r="R99" s="54">
        <v>1279428.3859533579</v>
      </c>
      <c r="S99" s="54"/>
      <c r="T99" s="54"/>
      <c r="U99" s="54">
        <v>1115295.4242362801</v>
      </c>
      <c r="V99" s="54"/>
      <c r="W99" s="54"/>
      <c r="X99" s="54">
        <f>SUM(R99:U99)</f>
        <v>2394723.8101896383</v>
      </c>
      <c r="Y99" s="54"/>
      <c r="Z99" s="54"/>
      <c r="AA99" s="54">
        <v>1279428.3859533579</v>
      </c>
      <c r="AB99" s="54"/>
      <c r="AC99" s="54"/>
    </row>
    <row r="100" spans="12:62" x14ac:dyDescent="0.25">
      <c r="L100" t="s">
        <v>111</v>
      </c>
      <c r="M100"/>
      <c r="N100"/>
      <c r="X100" s="28">
        <f>(X99/X98)-1</f>
        <v>-0.18268811938920193</v>
      </c>
      <c r="Y100" s="28"/>
      <c r="Z100" s="28"/>
      <c r="AA100" s="28">
        <f>(AA99/AA98)-1</f>
        <v>5.4210655092654658E-2</v>
      </c>
      <c r="AB100" s="28"/>
      <c r="AC100" s="28"/>
    </row>
    <row r="112" spans="12:62" x14ac:dyDescent="0.25">
      <c r="BJ112" s="63"/>
    </row>
  </sheetData>
  <mergeCells count="41">
    <mergeCell ref="BH53:BJ53"/>
    <mergeCell ref="A1:BH1"/>
    <mergeCell ref="F6:H6"/>
    <mergeCell ref="F53:H53"/>
    <mergeCell ref="L6:N6"/>
    <mergeCell ref="O6:Q6"/>
    <mergeCell ref="R6:T6"/>
    <mergeCell ref="U6:W6"/>
    <mergeCell ref="U53:W53"/>
    <mergeCell ref="O53:Q53"/>
    <mergeCell ref="L53:N53"/>
    <mergeCell ref="R53:T53"/>
    <mergeCell ref="X6:Z6"/>
    <mergeCell ref="X53:Z53"/>
    <mergeCell ref="AA6:AC6"/>
    <mergeCell ref="AV6:AX6"/>
    <mergeCell ref="BH6:BJ6"/>
    <mergeCell ref="AS6:AU6"/>
    <mergeCell ref="AP6:AR6"/>
    <mergeCell ref="AM6:AO6"/>
    <mergeCell ref="AJ6:AL6"/>
    <mergeCell ref="BE6:BG6"/>
    <mergeCell ref="AY6:BA6"/>
    <mergeCell ref="BB6:BD6"/>
    <mergeCell ref="C6:E6"/>
    <mergeCell ref="C53:E53"/>
    <mergeCell ref="I53:K53"/>
    <mergeCell ref="AG6:AI6"/>
    <mergeCell ref="AD6:AF6"/>
    <mergeCell ref="AD53:AF53"/>
    <mergeCell ref="AG53:AI53"/>
    <mergeCell ref="I6:K6"/>
    <mergeCell ref="BE53:BG53"/>
    <mergeCell ref="AS53:AU53"/>
    <mergeCell ref="AA53:AC53"/>
    <mergeCell ref="AJ53:AL53"/>
    <mergeCell ref="AM53:AO53"/>
    <mergeCell ref="AP53:AR53"/>
    <mergeCell ref="AV53:AX53"/>
    <mergeCell ref="AY53:BA53"/>
    <mergeCell ref="BB53:BD53"/>
  </mergeCells>
  <phoneticPr fontId="13" type="noConversion"/>
  <pageMargins left="0.25" right="0.25" top="0.25" bottom="0.25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94CF-86B6-4169-8F2A-B729048B88C8}">
  <dimension ref="A1:S106"/>
  <sheetViews>
    <sheetView workbookViewId="0">
      <pane xSplit="2" ySplit="5" topLeftCell="D30" activePane="bottomRight" state="frozen"/>
      <selection pane="topRight" activeCell="C1" sqref="C1"/>
      <selection pane="bottomLeft" activeCell="A6" sqref="A6"/>
      <selection pane="bottomRight" activeCell="E47" sqref="E47"/>
    </sheetView>
  </sheetViews>
  <sheetFormatPr defaultColWidth="9.109375" defaultRowHeight="13.2" x14ac:dyDescent="0.25"/>
  <cols>
    <col min="1" max="1" width="7.33203125" style="18" customWidth="1"/>
    <col min="2" max="3" width="35.109375" style="18" customWidth="1"/>
    <col min="4" max="4" width="11.33203125" style="18" customWidth="1"/>
    <col min="5" max="5" width="12.44140625" style="5" customWidth="1"/>
    <col min="6" max="6" width="14.44140625" style="5" hidden="1" customWidth="1"/>
    <col min="7" max="8" width="14.44140625" style="5" customWidth="1"/>
    <col min="9" max="9" width="14.44140625" style="5" hidden="1" customWidth="1"/>
    <col min="10" max="10" width="15.44140625" style="5" hidden="1" customWidth="1"/>
    <col min="11" max="11" width="14.44140625" style="5" hidden="1" customWidth="1"/>
    <col min="12" max="13" width="14.44140625" style="5" customWidth="1"/>
    <col min="14" max="14" width="15.44140625" style="5" bestFit="1" customWidth="1"/>
    <col min="15" max="18" width="14.44140625" style="5" customWidth="1"/>
    <col min="19" max="19" width="13.33203125" style="5" customWidth="1"/>
    <col min="20" max="20" width="3.44140625" style="5" customWidth="1"/>
    <col min="21" max="16384" width="9.109375" style="5"/>
  </cols>
  <sheetData>
    <row r="1" spans="1:19" ht="19.95" customHeight="1" x14ac:dyDescent="0.25">
      <c r="A1" s="21" t="s">
        <v>112</v>
      </c>
      <c r="B1" s="1"/>
      <c r="C1" s="1"/>
      <c r="D1" s="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95" customHeight="1" x14ac:dyDescent="0.25">
      <c r="A2" s="21" t="s">
        <v>113</v>
      </c>
      <c r="B2" s="1"/>
      <c r="C2" s="1"/>
      <c r="D2" s="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6.95" customHeight="1" x14ac:dyDescent="0.25">
      <c r="D3" s="44" t="s">
        <v>114</v>
      </c>
      <c r="E3" s="6" t="s">
        <v>8</v>
      </c>
      <c r="F3" s="7" t="s">
        <v>9</v>
      </c>
      <c r="G3" s="23" t="s">
        <v>10</v>
      </c>
      <c r="H3" s="22">
        <v>14</v>
      </c>
      <c r="I3" s="7" t="s">
        <v>11</v>
      </c>
      <c r="J3" s="7" t="s">
        <v>12</v>
      </c>
      <c r="K3" s="7" t="s">
        <v>13</v>
      </c>
      <c r="L3" s="7" t="s">
        <v>115</v>
      </c>
      <c r="M3" s="23" t="s">
        <v>14</v>
      </c>
      <c r="N3" s="23" t="s">
        <v>15</v>
      </c>
      <c r="O3" s="23" t="s">
        <v>16</v>
      </c>
      <c r="P3" s="22">
        <v>34</v>
      </c>
      <c r="Q3" s="22">
        <v>35</v>
      </c>
      <c r="R3" s="22">
        <v>36</v>
      </c>
      <c r="S3" s="7"/>
    </row>
    <row r="4" spans="1:19" ht="9.3000000000000007" customHeight="1" x14ac:dyDescent="0.25">
      <c r="A4" s="3"/>
      <c r="B4" s="3"/>
      <c r="C4" s="3"/>
      <c r="D4" s="3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2.45" customHeight="1" x14ac:dyDescent="0.25">
      <c r="A5" s="19"/>
      <c r="B5" s="19" t="s">
        <v>116</v>
      </c>
      <c r="C5" s="19" t="s">
        <v>117</v>
      </c>
      <c r="D5" s="19" t="s">
        <v>118</v>
      </c>
      <c r="E5" s="9" t="s">
        <v>18</v>
      </c>
      <c r="F5" s="24" t="s">
        <v>19</v>
      </c>
      <c r="G5" s="10" t="s">
        <v>21</v>
      </c>
      <c r="H5" s="10" t="s">
        <v>119</v>
      </c>
      <c r="I5" s="10" t="s">
        <v>23</v>
      </c>
      <c r="J5" s="10" t="s">
        <v>82</v>
      </c>
      <c r="K5" s="10" t="s">
        <v>25</v>
      </c>
      <c r="L5" s="10" t="s">
        <v>26</v>
      </c>
      <c r="M5" s="10" t="s">
        <v>120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37</v>
      </c>
    </row>
    <row r="6" spans="1:19" ht="13.2" customHeight="1" x14ac:dyDescent="0.3">
      <c r="A6" s="2" t="s">
        <v>46</v>
      </c>
      <c r="B6" s="25" t="s">
        <v>121</v>
      </c>
      <c r="C6" s="25"/>
      <c r="D6" s="25"/>
      <c r="P6" s="26">
        <v>70509.38</v>
      </c>
      <c r="S6" s="5">
        <f t="shared" ref="S6:S24" si="0">SUM(E6:R6)</f>
        <v>70509.38</v>
      </c>
    </row>
    <row r="7" spans="1:19" ht="13.2" customHeight="1" x14ac:dyDescent="0.3">
      <c r="B7" s="25" t="s">
        <v>122</v>
      </c>
      <c r="C7" s="25"/>
      <c r="D7" s="25"/>
      <c r="P7" s="26">
        <v>29250</v>
      </c>
      <c r="S7" s="5">
        <f t="shared" si="0"/>
        <v>29250</v>
      </c>
    </row>
    <row r="8" spans="1:19" ht="13.2" customHeight="1" x14ac:dyDescent="0.3">
      <c r="A8" s="3"/>
      <c r="B8" s="25" t="s">
        <v>123</v>
      </c>
      <c r="C8" s="25"/>
      <c r="D8" s="2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26">
        <v>53156.25</v>
      </c>
      <c r="Q8" s="11"/>
      <c r="R8" s="11"/>
      <c r="S8" s="5">
        <f t="shared" si="0"/>
        <v>53156.25</v>
      </c>
    </row>
    <row r="9" spans="1:19" ht="13.2" customHeight="1" x14ac:dyDescent="0.3">
      <c r="A9" s="3"/>
      <c r="B9" s="25" t="s">
        <v>124</v>
      </c>
      <c r="C9" s="25"/>
      <c r="D9" s="25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26">
        <v>72000</v>
      </c>
      <c r="Q9" s="11"/>
      <c r="R9" s="11"/>
      <c r="S9" s="5">
        <f t="shared" si="0"/>
        <v>72000</v>
      </c>
    </row>
    <row r="10" spans="1:19" ht="13.2" customHeight="1" x14ac:dyDescent="0.3">
      <c r="A10" s="3"/>
      <c r="B10" s="25" t="s">
        <v>125</v>
      </c>
      <c r="C10" s="25"/>
      <c r="D10" s="25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26">
        <v>66000</v>
      </c>
      <c r="Q10" s="11"/>
      <c r="R10" s="11"/>
      <c r="S10" s="5">
        <f t="shared" si="0"/>
        <v>66000</v>
      </c>
    </row>
    <row r="11" spans="1:19" ht="13.2" customHeight="1" x14ac:dyDescent="0.3">
      <c r="A11" s="3"/>
      <c r="B11" s="32" t="s">
        <v>126</v>
      </c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26">
        <v>66687.5</v>
      </c>
      <c r="S11" s="5">
        <f t="shared" si="0"/>
        <v>66687.5</v>
      </c>
    </row>
    <row r="12" spans="1:19" ht="13.2" customHeight="1" x14ac:dyDescent="0.3">
      <c r="A12" s="3"/>
      <c r="B12" s="25" t="s">
        <v>123</v>
      </c>
      <c r="C12" s="3"/>
      <c r="D12" s="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6">
        <v>8481.3799999999992</v>
      </c>
      <c r="S12" s="5">
        <f t="shared" si="0"/>
        <v>8481.3799999999992</v>
      </c>
    </row>
    <row r="13" spans="1:19" ht="13.2" customHeight="1" x14ac:dyDescent="0.3">
      <c r="A13" s="3"/>
      <c r="B13" s="32" t="s">
        <v>127</v>
      </c>
      <c r="C13" s="3"/>
      <c r="D13" s="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6">
        <v>10321.25</v>
      </c>
      <c r="S13" s="5">
        <f t="shared" si="0"/>
        <v>10321.25</v>
      </c>
    </row>
    <row r="14" spans="1:19" ht="13.2" customHeight="1" x14ac:dyDescent="0.25">
      <c r="A14" s="3"/>
      <c r="B14" s="2" t="s">
        <v>128</v>
      </c>
      <c r="C14" s="3"/>
      <c r="D14" s="3"/>
      <c r="E14" s="11"/>
      <c r="F14" s="11"/>
      <c r="G14" s="11">
        <v>20000</v>
      </c>
      <c r="H14" s="11">
        <v>4163.1499999999996</v>
      </c>
      <c r="I14" s="11"/>
      <c r="J14" s="11"/>
      <c r="K14" s="11"/>
      <c r="L14" s="11">
        <v>634879.19999999995</v>
      </c>
      <c r="M14" s="11"/>
      <c r="N14" s="11"/>
      <c r="O14" s="11">
        <v>173333</v>
      </c>
      <c r="P14" s="11"/>
      <c r="Q14" s="11"/>
      <c r="R14" s="11"/>
      <c r="S14" s="5">
        <f t="shared" si="0"/>
        <v>832375.35</v>
      </c>
    </row>
    <row r="15" spans="1:19" ht="13.2" customHeight="1" x14ac:dyDescent="0.25">
      <c r="A15" s="3"/>
      <c r="B15" s="32" t="s">
        <v>129</v>
      </c>
      <c r="C15" s="3"/>
      <c r="D15" s="3"/>
      <c r="E15" s="11"/>
      <c r="F15" s="11"/>
      <c r="G15" s="11"/>
      <c r="H15" s="11"/>
      <c r="I15" s="11"/>
      <c r="J15" s="11"/>
      <c r="K15" s="11"/>
      <c r="M15" s="11"/>
      <c r="N15" s="11">
        <v>22858.5</v>
      </c>
      <c r="O15" s="11"/>
      <c r="P15" s="11"/>
      <c r="Q15" s="11"/>
      <c r="R15" s="11"/>
      <c r="S15" s="5">
        <f t="shared" si="0"/>
        <v>22858.5</v>
      </c>
    </row>
    <row r="16" spans="1:19" ht="13.2" customHeight="1" x14ac:dyDescent="0.3">
      <c r="A16" s="3"/>
      <c r="B16" s="32" t="s">
        <v>130</v>
      </c>
      <c r="C16" s="3"/>
      <c r="D16" s="3"/>
      <c r="E16" s="11"/>
      <c r="F16" s="11"/>
      <c r="G16" s="11"/>
      <c r="H16" s="11"/>
      <c r="I16" s="11"/>
      <c r="J16" s="11"/>
      <c r="K16" s="11"/>
      <c r="L16" s="11"/>
      <c r="M16" s="35">
        <v>27563</v>
      </c>
      <c r="N16" s="11"/>
      <c r="O16" s="11"/>
      <c r="P16" s="11"/>
      <c r="Q16" s="11"/>
      <c r="R16" s="11"/>
      <c r="S16" s="5">
        <f t="shared" si="0"/>
        <v>27563</v>
      </c>
    </row>
    <row r="17" spans="1:19" ht="13.2" customHeight="1" x14ac:dyDescent="0.3">
      <c r="A17" s="3"/>
      <c r="B17" s="32" t="s">
        <v>131</v>
      </c>
      <c r="C17" s="3"/>
      <c r="D17" s="3"/>
      <c r="E17" s="11"/>
      <c r="F17" s="11"/>
      <c r="G17" s="11"/>
      <c r="H17" s="11"/>
      <c r="I17" s="11"/>
      <c r="J17" s="11"/>
      <c r="K17" s="11"/>
      <c r="L17" s="11"/>
      <c r="M17" s="35">
        <v>84000</v>
      </c>
      <c r="N17" s="11"/>
      <c r="O17" s="11"/>
      <c r="P17" s="11"/>
      <c r="Q17" s="11"/>
      <c r="R17" s="11"/>
      <c r="S17" s="5">
        <f t="shared" si="0"/>
        <v>84000</v>
      </c>
    </row>
    <row r="18" spans="1:19" ht="13.2" customHeight="1" x14ac:dyDescent="0.3">
      <c r="A18" s="3"/>
      <c r="B18" s="32" t="s">
        <v>132</v>
      </c>
      <c r="C18" s="3"/>
      <c r="D18" s="3"/>
      <c r="E18" s="11"/>
      <c r="F18" s="11"/>
      <c r="G18" s="11"/>
      <c r="H18" s="11"/>
      <c r="I18" s="11"/>
      <c r="J18" s="11"/>
      <c r="K18" s="11"/>
      <c r="L18" s="11"/>
      <c r="M18" s="35">
        <v>84000</v>
      </c>
      <c r="N18" s="11"/>
      <c r="O18" s="11"/>
      <c r="P18" s="11"/>
      <c r="Q18" s="11"/>
      <c r="R18" s="11"/>
      <c r="S18" s="5">
        <f t="shared" si="0"/>
        <v>84000</v>
      </c>
    </row>
    <row r="19" spans="1:19" ht="13.2" customHeight="1" x14ac:dyDescent="0.3">
      <c r="A19" s="3"/>
      <c r="B19" s="32" t="s">
        <v>133</v>
      </c>
      <c r="C19" s="3"/>
      <c r="D19" s="3"/>
      <c r="E19" s="11"/>
      <c r="F19" s="11"/>
      <c r="G19" s="11"/>
      <c r="H19" s="11"/>
      <c r="I19" s="11"/>
      <c r="J19" s="11"/>
      <c r="K19" s="11"/>
      <c r="L19" s="11"/>
      <c r="M19" s="35">
        <v>18375</v>
      </c>
      <c r="N19" s="11"/>
      <c r="O19" s="11"/>
      <c r="P19" s="11"/>
      <c r="Q19" s="11"/>
      <c r="R19" s="11"/>
      <c r="S19" s="5">
        <f t="shared" si="0"/>
        <v>18375</v>
      </c>
    </row>
    <row r="20" spans="1:19" ht="13.2" customHeight="1" x14ac:dyDescent="0.3">
      <c r="A20" s="3"/>
      <c r="B20" s="32" t="s">
        <v>134</v>
      </c>
      <c r="C20" s="3"/>
      <c r="D20" s="3"/>
      <c r="E20" s="11"/>
      <c r="F20" s="11"/>
      <c r="G20" s="11"/>
      <c r="H20" s="11"/>
      <c r="I20" s="11"/>
      <c r="J20" s="11"/>
      <c r="K20" s="11"/>
      <c r="L20" s="11"/>
      <c r="M20" s="35">
        <v>73500</v>
      </c>
      <c r="N20" s="11"/>
      <c r="O20" s="11"/>
      <c r="P20" s="11"/>
      <c r="Q20" s="11"/>
      <c r="R20" s="11"/>
      <c r="S20" s="5">
        <f t="shared" si="0"/>
        <v>73500</v>
      </c>
    </row>
    <row r="21" spans="1:19" ht="13.2" customHeight="1" x14ac:dyDescent="0.3">
      <c r="A21" s="3"/>
      <c r="B21" s="32"/>
      <c r="C21" s="3"/>
      <c r="D21" s="3"/>
      <c r="E21" s="11"/>
      <c r="F21" s="11"/>
      <c r="G21" s="11"/>
      <c r="H21" s="11"/>
      <c r="I21" s="11"/>
      <c r="J21" s="11"/>
      <c r="K21" s="11"/>
      <c r="L21" s="11"/>
      <c r="M21" s="35"/>
      <c r="N21" s="11"/>
      <c r="O21" s="11"/>
      <c r="P21" s="11"/>
      <c r="Q21" s="11"/>
      <c r="R21" s="11"/>
      <c r="S21" s="5">
        <f t="shared" si="0"/>
        <v>0</v>
      </c>
    </row>
    <row r="22" spans="1:19" ht="13.2" customHeight="1" x14ac:dyDescent="0.3">
      <c r="A22" s="3"/>
      <c r="B22" s="32"/>
      <c r="C22" s="3"/>
      <c r="D22" s="3"/>
      <c r="E22" s="11"/>
      <c r="F22" s="11"/>
      <c r="G22" s="11"/>
      <c r="H22" s="11"/>
      <c r="I22" s="11"/>
      <c r="J22" s="11"/>
      <c r="K22" s="11"/>
      <c r="L22" s="11"/>
      <c r="M22" s="35"/>
      <c r="N22" s="11"/>
      <c r="O22" s="11"/>
      <c r="P22" s="11"/>
      <c r="Q22" s="11"/>
      <c r="R22" s="11"/>
      <c r="S22" s="5">
        <f t="shared" si="0"/>
        <v>0</v>
      </c>
    </row>
    <row r="23" spans="1:19" ht="13.2" customHeight="1" x14ac:dyDescent="0.3">
      <c r="A23" s="3"/>
      <c r="B23" s="32"/>
      <c r="C23" s="3"/>
      <c r="D23" s="3"/>
      <c r="E23" s="11"/>
      <c r="F23" s="11"/>
      <c r="G23" s="11"/>
      <c r="H23" s="11" t="s">
        <v>46</v>
      </c>
      <c r="I23" s="11"/>
      <c r="J23" s="11"/>
      <c r="K23" s="11"/>
      <c r="L23" s="11"/>
      <c r="M23" s="35"/>
      <c r="N23" s="11"/>
      <c r="O23" s="11"/>
      <c r="P23" s="11"/>
      <c r="Q23" s="11"/>
      <c r="R23" s="11"/>
      <c r="S23" s="5">
        <f t="shared" si="0"/>
        <v>0</v>
      </c>
    </row>
    <row r="24" spans="1:19" ht="13.2" customHeight="1" x14ac:dyDescent="0.3">
      <c r="A24" s="3"/>
      <c r="B24" s="32"/>
      <c r="C24" s="3"/>
      <c r="D24" s="3"/>
      <c r="E24" s="11"/>
      <c r="F24" s="11"/>
      <c r="G24" s="11"/>
      <c r="H24" s="11"/>
      <c r="I24" s="11"/>
      <c r="J24" s="11"/>
      <c r="K24" s="11"/>
      <c r="L24" s="11"/>
      <c r="M24" s="35"/>
      <c r="N24" s="11"/>
      <c r="O24" s="11"/>
      <c r="P24" s="11"/>
      <c r="Q24" s="11"/>
      <c r="R24" s="11"/>
      <c r="S24" s="5">
        <f t="shared" si="0"/>
        <v>0</v>
      </c>
    </row>
    <row r="25" spans="1:19" ht="13.2" customHeight="1" x14ac:dyDescent="0.3">
      <c r="A25" s="3"/>
      <c r="B25" s="32" t="s">
        <v>134</v>
      </c>
      <c r="C25" s="3" t="s">
        <v>135</v>
      </c>
      <c r="D25" s="37">
        <v>97908.72</v>
      </c>
      <c r="E25" s="11"/>
      <c r="F25" s="11"/>
      <c r="G25" s="11"/>
      <c r="H25" s="11"/>
      <c r="I25" s="11"/>
      <c r="J25" s="11"/>
      <c r="K25" s="11"/>
      <c r="L25" s="11"/>
      <c r="M25" s="35"/>
      <c r="N25" s="11"/>
      <c r="O25" s="11"/>
      <c r="P25" s="11"/>
      <c r="Q25" s="11"/>
      <c r="R25" s="11"/>
      <c r="S25" s="45" t="s">
        <v>46</v>
      </c>
    </row>
    <row r="26" spans="1:19" ht="13.2" customHeight="1" x14ac:dyDescent="0.3">
      <c r="A26" s="3"/>
      <c r="B26" s="32" t="s">
        <v>136</v>
      </c>
      <c r="C26" s="3" t="s">
        <v>137</v>
      </c>
      <c r="D26" s="37">
        <v>204750</v>
      </c>
      <c r="E26" s="11"/>
      <c r="F26" s="11"/>
      <c r="G26" s="11"/>
      <c r="H26" s="11"/>
      <c r="I26" s="11"/>
      <c r="J26" s="11"/>
      <c r="K26" s="11"/>
      <c r="L26" s="11"/>
      <c r="M26" s="35"/>
      <c r="N26" s="11"/>
      <c r="O26" s="11"/>
      <c r="P26" s="11"/>
      <c r="Q26" s="11"/>
      <c r="R26" s="11"/>
      <c r="S26" s="45" t="s">
        <v>46</v>
      </c>
    </row>
    <row r="27" spans="1:19" ht="13.2" customHeight="1" x14ac:dyDescent="0.3">
      <c r="A27" s="3"/>
      <c r="B27" s="32" t="s">
        <v>138</v>
      </c>
      <c r="C27" s="3" t="s">
        <v>139</v>
      </c>
      <c r="D27" s="37">
        <v>142462.32</v>
      </c>
      <c r="E27" s="11"/>
      <c r="F27" s="11"/>
      <c r="G27" s="11"/>
      <c r="H27" s="11"/>
      <c r="I27" s="11"/>
      <c r="J27" s="11"/>
      <c r="K27" s="11"/>
      <c r="L27" s="11"/>
      <c r="M27" s="35"/>
      <c r="N27" s="11"/>
      <c r="O27" s="11"/>
      <c r="P27" s="11"/>
      <c r="Q27" s="11"/>
      <c r="R27" s="11"/>
      <c r="S27" s="45" t="s">
        <v>46</v>
      </c>
    </row>
    <row r="28" spans="1:19" ht="13.2" customHeight="1" x14ac:dyDescent="0.3">
      <c r="A28" s="3"/>
      <c r="B28" s="32" t="s">
        <v>140</v>
      </c>
      <c r="C28" s="3" t="s">
        <v>141</v>
      </c>
      <c r="D28" s="37">
        <v>136237.92000000001</v>
      </c>
      <c r="E28" s="11"/>
      <c r="F28" s="11"/>
      <c r="G28" s="11"/>
      <c r="H28" s="11"/>
      <c r="I28" s="11"/>
      <c r="J28" s="11"/>
      <c r="K28" s="11"/>
      <c r="L28" s="11"/>
      <c r="M28" s="35"/>
      <c r="N28" s="11"/>
      <c r="O28" s="11"/>
      <c r="P28" s="11"/>
      <c r="Q28" s="11"/>
      <c r="R28" s="11"/>
      <c r="S28" s="45" t="s">
        <v>46</v>
      </c>
    </row>
    <row r="29" spans="1:19" ht="13.2" customHeight="1" x14ac:dyDescent="0.3">
      <c r="A29" s="3"/>
      <c r="B29" s="32" t="s">
        <v>142</v>
      </c>
      <c r="C29" s="3" t="s">
        <v>143</v>
      </c>
      <c r="D29" s="37">
        <v>136259.76</v>
      </c>
      <c r="E29" s="11"/>
      <c r="F29" s="11"/>
      <c r="G29" s="11"/>
      <c r="H29" s="11"/>
      <c r="I29" s="11"/>
      <c r="J29" s="11"/>
      <c r="K29" s="11"/>
      <c r="L29" s="11"/>
      <c r="M29" s="35"/>
      <c r="N29" s="11"/>
      <c r="O29" s="11"/>
      <c r="P29" s="11"/>
      <c r="Q29" s="11"/>
      <c r="R29" s="11"/>
      <c r="S29" s="45" t="s">
        <v>46</v>
      </c>
    </row>
    <row r="30" spans="1:19" ht="13.2" customHeight="1" x14ac:dyDescent="0.3">
      <c r="A30" s="3"/>
      <c r="B30" s="32" t="s">
        <v>144</v>
      </c>
      <c r="C30" s="3" t="s">
        <v>145</v>
      </c>
      <c r="D30" s="37">
        <v>80524.08</v>
      </c>
      <c r="E30" s="11"/>
      <c r="F30" s="11"/>
      <c r="G30" s="11"/>
      <c r="H30" s="11"/>
      <c r="I30" s="11"/>
      <c r="J30" s="11"/>
      <c r="K30" s="11"/>
      <c r="L30" s="11"/>
      <c r="M30" s="35"/>
      <c r="N30" s="11"/>
      <c r="O30" s="11"/>
      <c r="P30" s="11"/>
      <c r="Q30" s="11"/>
      <c r="R30" s="11"/>
      <c r="S30" s="45" t="s">
        <v>46</v>
      </c>
    </row>
    <row r="31" spans="1:19" ht="13.2" customHeight="1" x14ac:dyDescent="0.3">
      <c r="A31" s="3"/>
      <c r="B31" s="3" t="s">
        <v>144</v>
      </c>
      <c r="C31" s="3" t="s">
        <v>146</v>
      </c>
      <c r="D31" s="37">
        <v>83996.64</v>
      </c>
      <c r="E31" s="11"/>
      <c r="F31" s="11"/>
      <c r="G31" s="11"/>
      <c r="H31" s="11"/>
      <c r="I31" s="11"/>
      <c r="J31" s="11"/>
      <c r="K31" s="11"/>
      <c r="L31" s="11"/>
      <c r="M31" s="35"/>
      <c r="N31" s="11"/>
      <c r="O31" s="11"/>
      <c r="P31" s="11"/>
      <c r="Q31" s="11"/>
      <c r="R31" s="11"/>
      <c r="S31" s="45" t="s">
        <v>46</v>
      </c>
    </row>
    <row r="32" spans="1:19" ht="13.2" customHeight="1" x14ac:dyDescent="0.3">
      <c r="A32" s="3"/>
      <c r="B32" s="3" t="s">
        <v>147</v>
      </c>
      <c r="C32" s="3" t="s">
        <v>148</v>
      </c>
      <c r="D32" s="37">
        <v>110248.32000000001</v>
      </c>
      <c r="E32" s="11"/>
      <c r="F32" s="11"/>
      <c r="G32" s="11"/>
      <c r="H32" s="11"/>
      <c r="I32" s="11"/>
      <c r="J32" s="11"/>
      <c r="K32" s="11"/>
      <c r="L32" s="11"/>
      <c r="M32" s="35"/>
      <c r="N32" s="11"/>
      <c r="O32" s="11"/>
      <c r="P32" s="11"/>
      <c r="Q32" s="11"/>
      <c r="R32" s="11"/>
      <c r="S32" s="45" t="s">
        <v>46</v>
      </c>
    </row>
    <row r="33" spans="1:19" ht="13.2" customHeight="1" x14ac:dyDescent="0.3">
      <c r="A33" s="3"/>
      <c r="B33" s="32" t="s">
        <v>149</v>
      </c>
      <c r="C33" s="3" t="s">
        <v>150</v>
      </c>
      <c r="D33" s="37">
        <v>101381.28</v>
      </c>
      <c r="E33" s="11"/>
      <c r="F33" s="11"/>
      <c r="G33" s="11"/>
      <c r="H33" s="11"/>
      <c r="I33" s="11"/>
      <c r="J33" s="11"/>
      <c r="K33" s="11"/>
      <c r="L33" s="11"/>
      <c r="M33" s="35"/>
      <c r="N33" s="11"/>
      <c r="O33" s="11"/>
      <c r="P33" s="11"/>
      <c r="Q33" s="11"/>
      <c r="R33" s="11"/>
      <c r="S33" s="45" t="s">
        <v>46</v>
      </c>
    </row>
    <row r="34" spans="1:19" ht="13.2" customHeight="1" x14ac:dyDescent="0.3">
      <c r="A34" s="3"/>
      <c r="B34" s="32" t="s">
        <v>151</v>
      </c>
      <c r="C34" s="3" t="s">
        <v>152</v>
      </c>
      <c r="D34" s="37">
        <v>80043.600000000006</v>
      </c>
      <c r="E34" s="11"/>
      <c r="F34" s="11"/>
      <c r="G34" s="11"/>
      <c r="H34" s="11"/>
      <c r="I34" s="11"/>
      <c r="J34" s="11"/>
      <c r="K34" s="11"/>
      <c r="L34" s="11"/>
      <c r="M34" s="35"/>
      <c r="N34" s="11"/>
      <c r="O34" s="11"/>
      <c r="P34" s="11"/>
      <c r="Q34" s="11"/>
      <c r="R34" s="11"/>
      <c r="S34" s="45" t="s">
        <v>46</v>
      </c>
    </row>
    <row r="35" spans="1:19" ht="13.2" customHeight="1" x14ac:dyDescent="0.3">
      <c r="A35" s="3"/>
      <c r="B35" s="32" t="s">
        <v>153</v>
      </c>
      <c r="C35" s="3" t="s">
        <v>154</v>
      </c>
      <c r="D35" s="37">
        <v>92623.44</v>
      </c>
      <c r="E35" s="11"/>
      <c r="F35" s="11"/>
      <c r="G35" s="11"/>
      <c r="H35" s="11"/>
      <c r="I35" s="11"/>
      <c r="J35" s="11"/>
      <c r="K35" s="11"/>
      <c r="L35" s="11"/>
      <c r="M35" s="35"/>
      <c r="N35" s="11"/>
      <c r="O35" s="11"/>
      <c r="P35" s="11"/>
      <c r="Q35" s="11"/>
      <c r="R35" s="11"/>
      <c r="S35" s="45" t="s">
        <v>46</v>
      </c>
    </row>
    <row r="36" spans="1:19" ht="13.2" customHeight="1" x14ac:dyDescent="0.3">
      <c r="A36" s="3"/>
      <c r="B36" s="32" t="s">
        <v>153</v>
      </c>
      <c r="C36" s="3" t="s">
        <v>155</v>
      </c>
      <c r="D36" s="37">
        <v>102189.36</v>
      </c>
      <c r="E36" s="11"/>
      <c r="F36" s="11"/>
      <c r="G36" s="11"/>
      <c r="H36" s="11"/>
      <c r="I36" s="11"/>
      <c r="J36" s="11"/>
      <c r="K36" s="11"/>
      <c r="L36" s="11"/>
      <c r="M36" s="35"/>
      <c r="N36" s="11"/>
      <c r="O36" s="11"/>
      <c r="P36" s="11"/>
      <c r="Q36" s="11"/>
      <c r="R36" s="11"/>
      <c r="S36" s="45" t="s">
        <v>46</v>
      </c>
    </row>
    <row r="37" spans="1:19" ht="13.2" customHeight="1" x14ac:dyDescent="0.3">
      <c r="A37" s="3"/>
      <c r="B37" s="3" t="s">
        <v>153</v>
      </c>
      <c r="C37" s="3" t="s">
        <v>156</v>
      </c>
      <c r="D37" s="37">
        <v>102757.2</v>
      </c>
      <c r="E37" s="11"/>
      <c r="F37" s="11"/>
      <c r="G37" s="11"/>
      <c r="H37" s="11"/>
      <c r="I37" s="11"/>
      <c r="J37" s="11"/>
      <c r="K37" s="11"/>
      <c r="L37" s="11"/>
      <c r="M37" s="35"/>
      <c r="N37" s="11"/>
      <c r="O37" s="11"/>
      <c r="P37" s="11"/>
      <c r="Q37" s="11"/>
      <c r="R37" s="11"/>
      <c r="S37" s="45" t="s">
        <v>46</v>
      </c>
    </row>
    <row r="38" spans="1:19" ht="13.2" customHeight="1" x14ac:dyDescent="0.3">
      <c r="A38" s="3"/>
      <c r="B38" s="32" t="s">
        <v>157</v>
      </c>
      <c r="C38" s="3" t="s">
        <v>158</v>
      </c>
      <c r="D38" s="37">
        <v>111493.2</v>
      </c>
      <c r="E38" s="11"/>
      <c r="F38" s="11"/>
      <c r="G38" s="11"/>
      <c r="H38" s="11"/>
      <c r="I38" s="11"/>
      <c r="J38" s="11"/>
      <c r="K38" s="11"/>
      <c r="L38" s="11"/>
      <c r="M38" s="35"/>
      <c r="N38" s="11"/>
      <c r="O38" s="11"/>
      <c r="P38" s="11"/>
      <c r="Q38" s="11"/>
      <c r="R38" s="11"/>
      <c r="S38" s="45" t="s">
        <v>46</v>
      </c>
    </row>
    <row r="39" spans="1:19" ht="13.2" customHeight="1" x14ac:dyDescent="0.3">
      <c r="A39" s="3"/>
      <c r="B39" s="32" t="s">
        <v>121</v>
      </c>
      <c r="C39" s="3" t="s">
        <v>159</v>
      </c>
      <c r="D39" s="37">
        <v>114594.48</v>
      </c>
      <c r="E39" s="11"/>
      <c r="F39" s="11"/>
      <c r="G39" s="11"/>
      <c r="H39" s="11"/>
      <c r="I39" s="11"/>
      <c r="J39" s="11"/>
      <c r="K39" s="11"/>
      <c r="L39" s="11"/>
      <c r="M39" s="35"/>
      <c r="N39" s="11"/>
      <c r="O39" s="11"/>
      <c r="P39" s="11"/>
      <c r="Q39" s="11"/>
      <c r="R39" s="11"/>
      <c r="S39" s="45" t="s">
        <v>46</v>
      </c>
    </row>
    <row r="40" spans="1:19" ht="13.2" customHeight="1" x14ac:dyDescent="0.3">
      <c r="A40" s="3"/>
      <c r="B40" s="32" t="s">
        <v>121</v>
      </c>
      <c r="C40" s="3" t="s">
        <v>160</v>
      </c>
      <c r="D40" s="37">
        <v>142462.32</v>
      </c>
      <c r="E40" s="11"/>
      <c r="F40" s="11"/>
      <c r="G40" s="11"/>
      <c r="H40" s="38" t="s">
        <v>46</v>
      </c>
      <c r="I40" s="11"/>
      <c r="J40" s="11"/>
      <c r="K40" s="11"/>
      <c r="L40" s="11"/>
      <c r="M40" s="35"/>
      <c r="N40" s="11"/>
      <c r="O40" s="11"/>
      <c r="P40" s="11"/>
      <c r="Q40" s="11"/>
      <c r="R40" s="11"/>
      <c r="S40" s="45" t="s">
        <v>46</v>
      </c>
    </row>
    <row r="41" spans="1:19" ht="13.2" customHeight="1" x14ac:dyDescent="0.3">
      <c r="A41" s="3"/>
      <c r="B41" s="32" t="s">
        <v>161</v>
      </c>
      <c r="C41" s="3" t="s">
        <v>162</v>
      </c>
      <c r="D41" s="37">
        <v>94152.24</v>
      </c>
      <c r="E41" s="11"/>
      <c r="F41" s="11"/>
      <c r="G41" s="11"/>
      <c r="H41" s="38" t="s">
        <v>46</v>
      </c>
      <c r="I41" s="11"/>
      <c r="J41" s="11"/>
      <c r="K41" s="11"/>
      <c r="L41" s="11"/>
      <c r="M41" s="35"/>
      <c r="N41" s="11"/>
      <c r="O41" s="11"/>
      <c r="P41" s="11"/>
      <c r="Q41" s="11"/>
      <c r="R41" s="11"/>
      <c r="S41" s="45" t="s">
        <v>46</v>
      </c>
    </row>
    <row r="42" spans="1:19" ht="13.2" customHeight="1" x14ac:dyDescent="0.3">
      <c r="A42" s="3"/>
      <c r="B42" s="32" t="s">
        <v>163</v>
      </c>
      <c r="C42" s="3" t="s">
        <v>164</v>
      </c>
      <c r="D42" s="37">
        <v>123876.48</v>
      </c>
      <c r="E42" s="11"/>
      <c r="F42" s="11"/>
      <c r="G42" s="11"/>
      <c r="H42" s="38" t="s">
        <v>46</v>
      </c>
      <c r="I42" s="11"/>
      <c r="J42" s="11"/>
      <c r="K42" s="11"/>
      <c r="L42" s="11"/>
      <c r="M42" s="35"/>
      <c r="N42" s="11"/>
      <c r="O42" s="11"/>
      <c r="P42" s="11"/>
      <c r="Q42" s="11"/>
      <c r="R42" s="11"/>
      <c r="S42" s="45" t="s">
        <v>46</v>
      </c>
    </row>
    <row r="43" spans="1:19" ht="13.2" customHeight="1" x14ac:dyDescent="0.3">
      <c r="A43" s="3"/>
      <c r="B43" s="32" t="s">
        <v>165</v>
      </c>
      <c r="C43" s="3" t="s">
        <v>166</v>
      </c>
      <c r="D43" s="37">
        <v>103062.96</v>
      </c>
      <c r="E43" s="11"/>
      <c r="F43" s="11"/>
      <c r="G43" s="11"/>
      <c r="H43" s="38" t="s">
        <v>46</v>
      </c>
      <c r="I43" s="11"/>
      <c r="J43" s="11"/>
      <c r="K43" s="11"/>
      <c r="L43" s="11"/>
      <c r="M43" s="35"/>
      <c r="N43" s="11"/>
      <c r="O43" s="11"/>
      <c r="P43" s="11"/>
      <c r="Q43" s="11"/>
      <c r="R43" s="11"/>
      <c r="S43" s="45" t="s">
        <v>46</v>
      </c>
    </row>
    <row r="44" spans="1:19" ht="13.2" customHeight="1" x14ac:dyDescent="0.25">
      <c r="A44" s="3"/>
      <c r="B44" s="32" t="s">
        <v>167</v>
      </c>
      <c r="C44" s="3" t="s">
        <v>168</v>
      </c>
      <c r="D44" s="37">
        <v>136063.20000000001</v>
      </c>
      <c r="E44" s="11"/>
      <c r="F44" s="11"/>
      <c r="G44" s="11"/>
      <c r="H44" s="38" t="s">
        <v>46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45" t="s">
        <v>46</v>
      </c>
    </row>
    <row r="45" spans="1:19" ht="13.2" customHeight="1" x14ac:dyDescent="0.25">
      <c r="A45" s="3"/>
      <c r="B45" s="32" t="s">
        <v>169</v>
      </c>
      <c r="C45" s="3" t="s">
        <v>170</v>
      </c>
      <c r="D45" s="37">
        <v>154845.6</v>
      </c>
      <c r="E45" s="11"/>
      <c r="F45" s="11"/>
      <c r="G45" s="11"/>
      <c r="H45" s="38" t="s">
        <v>46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45" t="s">
        <v>46</v>
      </c>
    </row>
    <row r="46" spans="1:19" ht="13.2" customHeight="1" x14ac:dyDescent="0.25">
      <c r="A46" s="3"/>
      <c r="B46" s="32" t="s">
        <v>132</v>
      </c>
      <c r="C46" s="3" t="s">
        <v>171</v>
      </c>
      <c r="D46" s="37">
        <v>92623.44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45" t="s">
        <v>46</v>
      </c>
    </row>
    <row r="47" spans="1:19" ht="13.2" customHeight="1" x14ac:dyDescent="0.25">
      <c r="A47" s="3"/>
      <c r="B47" s="3"/>
      <c r="C47" s="3"/>
      <c r="D47" s="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45" t="s">
        <v>46</v>
      </c>
    </row>
    <row r="48" spans="1:19" ht="13.2" customHeight="1" x14ac:dyDescent="0.25">
      <c r="A48" s="3"/>
      <c r="B48" s="3"/>
      <c r="C48" s="3"/>
      <c r="D48" s="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45" t="s">
        <v>46</v>
      </c>
    </row>
    <row r="49" spans="1:19" ht="13.2" customHeight="1" x14ac:dyDescent="0.25">
      <c r="A49" s="3"/>
      <c r="B49" s="3"/>
      <c r="C49" s="3"/>
      <c r="D49" s="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45" t="s">
        <v>46</v>
      </c>
    </row>
    <row r="50" spans="1:19" ht="13.2" customHeight="1" x14ac:dyDescent="0.25">
      <c r="A50" s="3"/>
      <c r="B50" s="3"/>
      <c r="C50" s="3"/>
      <c r="D50" s="3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45" t="s">
        <v>46</v>
      </c>
    </row>
    <row r="51" spans="1:19" ht="13.2" customHeight="1" x14ac:dyDescent="0.25">
      <c r="A51" s="3"/>
      <c r="B51" s="3"/>
      <c r="C51" s="3"/>
      <c r="D51" s="3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45" t="s">
        <v>46</v>
      </c>
    </row>
    <row r="52" spans="1:19" ht="13.2" customHeight="1" x14ac:dyDescent="0.25">
      <c r="A52" s="3"/>
      <c r="B52" s="3"/>
      <c r="C52" s="3"/>
      <c r="D52" s="3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45" t="s">
        <v>46</v>
      </c>
    </row>
    <row r="53" spans="1:19" ht="13.2" customHeight="1" x14ac:dyDescent="0.25">
      <c r="A53" s="3"/>
      <c r="B53" s="3"/>
      <c r="C53" s="3"/>
      <c r="D53" s="3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45" t="s">
        <v>46</v>
      </c>
    </row>
    <row r="54" spans="1:19" ht="13.2" customHeight="1" x14ac:dyDescent="0.25">
      <c r="A54" s="3"/>
      <c r="B54" s="5"/>
      <c r="C54" s="3"/>
      <c r="D54" s="3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27" t="s">
        <v>46</v>
      </c>
      <c r="Q54" s="11"/>
      <c r="R54" s="11"/>
      <c r="S54" s="45" t="s">
        <v>46</v>
      </c>
    </row>
    <row r="55" spans="1:19" ht="13.2" customHeight="1" x14ac:dyDescent="0.25">
      <c r="A55" s="3"/>
      <c r="B55" s="3"/>
      <c r="C55" s="3"/>
      <c r="D55" s="3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45" t="s">
        <v>46</v>
      </c>
    </row>
    <row r="56" spans="1:19" ht="12" customHeight="1" x14ac:dyDescent="0.25">
      <c r="A56" s="2" t="s">
        <v>80</v>
      </c>
      <c r="B56" s="2"/>
      <c r="C56" s="2"/>
      <c r="D56" s="12">
        <f>SUM(D6:D55)</f>
        <v>2544556.5600000005</v>
      </c>
      <c r="E56" s="12">
        <f t="shared" ref="E56:R56" si="1">SUM(E6:E55)</f>
        <v>0</v>
      </c>
      <c r="F56" s="12">
        <f t="shared" si="1"/>
        <v>0</v>
      </c>
      <c r="G56" s="12">
        <f t="shared" si="1"/>
        <v>20000</v>
      </c>
      <c r="H56" s="12">
        <f t="shared" si="1"/>
        <v>4163.1499999999996</v>
      </c>
      <c r="I56" s="12">
        <f t="shared" si="1"/>
        <v>0</v>
      </c>
      <c r="J56" s="12">
        <f t="shared" si="1"/>
        <v>0</v>
      </c>
      <c r="K56" s="12">
        <f t="shared" si="1"/>
        <v>0</v>
      </c>
      <c r="L56" s="12">
        <f t="shared" si="1"/>
        <v>634879.19999999995</v>
      </c>
      <c r="M56" s="12">
        <f t="shared" si="1"/>
        <v>287438</v>
      </c>
      <c r="N56" s="12">
        <f t="shared" si="1"/>
        <v>22858.5</v>
      </c>
      <c r="O56" s="12">
        <f t="shared" si="1"/>
        <v>173333</v>
      </c>
      <c r="P56" s="12">
        <f t="shared" si="1"/>
        <v>290915.63</v>
      </c>
      <c r="Q56" s="12">
        <f t="shared" si="1"/>
        <v>0</v>
      </c>
      <c r="R56" s="12">
        <f t="shared" si="1"/>
        <v>85490.13</v>
      </c>
      <c r="S56" s="12">
        <f>SUM(S8:S55)</f>
        <v>1419318.23</v>
      </c>
    </row>
    <row r="57" spans="1:19" s="28" customFormat="1" ht="13.2" customHeight="1" x14ac:dyDescent="0.25"/>
    <row r="58" spans="1:19" s="33" customFormat="1" ht="13.2" customHeight="1" x14ac:dyDescent="0.25">
      <c r="B58" s="34" t="s">
        <v>172</v>
      </c>
      <c r="D58" s="33">
        <v>0.185</v>
      </c>
      <c r="G58" s="33">
        <v>0.48</v>
      </c>
      <c r="H58" s="33">
        <v>0.185</v>
      </c>
      <c r="L58" s="33">
        <v>0.48</v>
      </c>
      <c r="M58" s="33">
        <v>0.48</v>
      </c>
      <c r="N58" s="33">
        <v>0.185</v>
      </c>
      <c r="O58" s="33">
        <v>0.48</v>
      </c>
      <c r="P58" s="33">
        <v>0.48</v>
      </c>
      <c r="Q58" s="55" t="s">
        <v>173</v>
      </c>
      <c r="R58" s="33">
        <v>0.48</v>
      </c>
    </row>
    <row r="59" spans="1:19" s="30" customFormat="1" ht="13.2" customHeight="1" x14ac:dyDescent="0.25">
      <c r="B59" s="31" t="s">
        <v>49</v>
      </c>
      <c r="D59" s="30">
        <f>+D56*D58</f>
        <v>470742.96360000008</v>
      </c>
      <c r="G59" s="30">
        <f>+G56*G58</f>
        <v>9600</v>
      </c>
      <c r="H59" s="30">
        <f>+H56*H58</f>
        <v>770.18274999999994</v>
      </c>
      <c r="L59" s="30">
        <f>+L56*L58</f>
        <v>304742.01599999995</v>
      </c>
      <c r="M59" s="30">
        <f>+M56*M58</f>
        <v>137970.23999999999</v>
      </c>
      <c r="N59" s="30">
        <f>+N56*N58</f>
        <v>4228.8225000000002</v>
      </c>
      <c r="O59" s="30">
        <f>+O56*O58</f>
        <v>83199.839999999997</v>
      </c>
      <c r="P59" s="30">
        <f>+P56*P58</f>
        <v>139639.5024</v>
      </c>
      <c r="R59" s="30">
        <f>+R56*R58</f>
        <v>41035.2624</v>
      </c>
      <c r="S59" s="5">
        <f>SUM(E59:R59)</f>
        <v>721185.86604999995</v>
      </c>
    </row>
    <row r="60" spans="1:19" s="28" customFormat="1" ht="13.2" customHeight="1" x14ac:dyDescent="0.25">
      <c r="B60" s="29"/>
      <c r="L60" s="11" t="s">
        <v>46</v>
      </c>
    </row>
    <row r="61" spans="1:19" s="28" customFormat="1" ht="13.2" customHeight="1" x14ac:dyDescent="0.25">
      <c r="B61" s="29"/>
      <c r="C61" s="47" t="s">
        <v>174</v>
      </c>
      <c r="D61" s="39">
        <v>1.4500000000000001E-2</v>
      </c>
    </row>
    <row r="62" spans="1:19" ht="13.2" customHeight="1" x14ac:dyDescent="0.25">
      <c r="C62" s="44" t="s">
        <v>175</v>
      </c>
      <c r="D62" s="56">
        <v>1223.1199999999999</v>
      </c>
    </row>
    <row r="63" spans="1:19" ht="13.2" customHeight="1" x14ac:dyDescent="0.25">
      <c r="C63" s="44" t="s">
        <v>176</v>
      </c>
    </row>
    <row r="64" spans="1:19" ht="13.2" customHeight="1" x14ac:dyDescent="0.25"/>
    <row r="65" ht="13.2" customHeight="1" x14ac:dyDescent="0.25"/>
    <row r="66" ht="13.2" customHeight="1" x14ac:dyDescent="0.25"/>
    <row r="67" ht="13.2" customHeight="1" x14ac:dyDescent="0.25"/>
    <row r="68" ht="13.2" customHeight="1" x14ac:dyDescent="0.25"/>
    <row r="69" ht="13.2" customHeight="1" x14ac:dyDescent="0.25"/>
    <row r="70" ht="13.2" customHeight="1" x14ac:dyDescent="0.25"/>
    <row r="71" ht="13.2" customHeight="1" x14ac:dyDescent="0.25"/>
    <row r="72" ht="13.2" customHeight="1" x14ac:dyDescent="0.25"/>
    <row r="73" ht="13.2" customHeight="1" x14ac:dyDescent="0.25"/>
    <row r="74" ht="13.2" customHeight="1" x14ac:dyDescent="0.25"/>
    <row r="75" ht="13.2" customHeight="1" x14ac:dyDescent="0.25"/>
    <row r="76" ht="13.2" customHeight="1" x14ac:dyDescent="0.25"/>
    <row r="77" ht="13.2" customHeight="1" x14ac:dyDescent="0.25"/>
    <row r="78" ht="13.2" customHeight="1" x14ac:dyDescent="0.25"/>
    <row r="79" ht="13.2" customHeight="1" x14ac:dyDescent="0.25"/>
    <row r="80" ht="13.2" customHeight="1" x14ac:dyDescent="0.25"/>
    <row r="81" ht="13.2" customHeight="1" x14ac:dyDescent="0.25"/>
    <row r="82" ht="13.2" customHeight="1" x14ac:dyDescent="0.25"/>
    <row r="83" ht="13.2" customHeight="1" x14ac:dyDescent="0.25"/>
    <row r="84" ht="13.2" customHeight="1" x14ac:dyDescent="0.25"/>
    <row r="85" ht="13.2" customHeight="1" x14ac:dyDescent="0.25"/>
    <row r="86" ht="13.2" customHeight="1" x14ac:dyDescent="0.25"/>
    <row r="87" ht="13.2" customHeight="1" x14ac:dyDescent="0.25"/>
    <row r="88" ht="13.2" customHeight="1" x14ac:dyDescent="0.25"/>
    <row r="89" ht="13.2" customHeight="1" x14ac:dyDescent="0.25"/>
    <row r="90" ht="13.2" customHeight="1" x14ac:dyDescent="0.25"/>
    <row r="91" ht="13.2" customHeight="1" x14ac:dyDescent="0.25"/>
    <row r="92" ht="13.2" customHeight="1" x14ac:dyDescent="0.25"/>
    <row r="93" ht="13.2" customHeight="1" x14ac:dyDescent="0.25"/>
    <row r="94" ht="13.2" customHeight="1" x14ac:dyDescent="0.25"/>
    <row r="95" ht="13.2" customHeight="1" x14ac:dyDescent="0.25"/>
    <row r="96" ht="13.2" customHeight="1" x14ac:dyDescent="0.25"/>
    <row r="97" spans="1:19" ht="13.2" customHeight="1" x14ac:dyDescent="0.25"/>
    <row r="98" spans="1:19" ht="13.2" customHeight="1" x14ac:dyDescent="0.25"/>
    <row r="99" spans="1:19" ht="13.2" customHeight="1" x14ac:dyDescent="0.25"/>
    <row r="100" spans="1:19" ht="13.2" customHeight="1" x14ac:dyDescent="0.25"/>
    <row r="101" spans="1:19" ht="13.2" customHeight="1" x14ac:dyDescent="0.25"/>
    <row r="102" spans="1:19" ht="13.2" customHeight="1" x14ac:dyDescent="0.25"/>
    <row r="103" spans="1:19" ht="13.2" customHeight="1" x14ac:dyDescent="0.25"/>
    <row r="104" spans="1:19" ht="7.8" customHeight="1" x14ac:dyDescent="0.25">
      <c r="A104" s="3"/>
      <c r="B104" s="3"/>
      <c r="C104" s="3"/>
      <c r="D104" s="3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10.5" customHeight="1" x14ac:dyDescent="0.25">
      <c r="A105" s="20">
        <v>45819.354201388902</v>
      </c>
      <c r="B105" s="20"/>
      <c r="C105" s="20"/>
      <c r="D105" s="20"/>
      <c r="E105" s="13"/>
      <c r="F105" s="14"/>
      <c r="G105" s="14"/>
      <c r="H105" s="14"/>
      <c r="I105" s="14"/>
      <c r="J105" s="14"/>
      <c r="K105" s="14"/>
      <c r="L105" s="14"/>
      <c r="M105" s="14"/>
      <c r="N105" s="14"/>
      <c r="O105" s="15"/>
      <c r="P105" s="15"/>
      <c r="Q105" s="15"/>
      <c r="R105" s="15"/>
      <c r="S105" s="15"/>
    </row>
    <row r="106" spans="1:19" ht="13.2" customHeight="1" x14ac:dyDescent="0.25"/>
  </sheetData>
  <sortState xmlns:xlrd2="http://schemas.microsoft.com/office/spreadsheetml/2017/richdata2" ref="B25:D46">
    <sortCondition ref="B25:B46"/>
  </sortState>
  <pageMargins left="0.25" right="0.25" top="0.25" bottom="0.25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91AB-5B1F-4C3E-9643-BB21450F6415}">
  <dimension ref="A1"/>
  <sheetViews>
    <sheetView topLeftCell="A13" workbookViewId="0">
      <selection activeCell="A17" sqref="A17"/>
    </sheetView>
  </sheetViews>
  <sheetFormatPr defaultColWidth="8.77734375" defaultRowHeight="13.2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c62e0e-8336-4a25-837a-ddf0d7720a41" xsi:nil="true"/>
    <lcf76f155ced4ddcb4097134ff3c332f xmlns="ddac2837-92de-4a2d-9de5-edb91ee657b6">
      <Terms xmlns="http://schemas.microsoft.com/office/infopath/2007/PartnerControls"/>
    </lcf76f155ced4ddcb4097134ff3c332f>
    <Date xmlns="ddac2837-92de-4a2d-9de5-edb91ee657b6" xsi:nil="true"/>
    <Creation_x0020_Date xmlns="ddac2837-92de-4a2d-9de5-edb91ee657b6" xsi:nil="true"/>
    <DateTime xmlns="ddac2837-92de-4a2d-9de5-edb91ee657b6" xsi:nil="true"/>
    <TEST xmlns="ddac2837-92de-4a2d-9de5-edb91ee657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F51A364A67B4FA6F2D634CA40B4EB" ma:contentTypeVersion="23" ma:contentTypeDescription="Create a new document." ma:contentTypeScope="" ma:versionID="d6926dbd050297abcb227c2609e07a4a">
  <xsd:schema xmlns:xsd="http://www.w3.org/2001/XMLSchema" xmlns:xs="http://www.w3.org/2001/XMLSchema" xmlns:p="http://schemas.microsoft.com/office/2006/metadata/properties" xmlns:ns2="c7c62e0e-8336-4a25-837a-ddf0d7720a41" xmlns:ns3="ddac2837-92de-4a2d-9de5-edb91ee657b6" targetNamespace="http://schemas.microsoft.com/office/2006/metadata/properties" ma:root="true" ma:fieldsID="54e8c7009e9cc0db5d28089d9777cbf3" ns2:_="" ns3:_="">
    <xsd:import namespace="c7c62e0e-8336-4a25-837a-ddf0d7720a41"/>
    <xsd:import namespace="ddac2837-92de-4a2d-9de5-edb91ee657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DateTime" minOccurs="0"/>
                <xsd:element ref="ns3:MediaServiceObjectDetectorVersions" minOccurs="0"/>
                <xsd:element ref="ns3:Creation_x0020_Date" minOccurs="0"/>
                <xsd:element ref="ns3:Date" minOccurs="0"/>
                <xsd:element ref="ns3:TEST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62e0e-8336-4a25-837a-ddf0d7720a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107dc-33a3-4ceb-b01f-3fc6493ce27f}" ma:internalName="TaxCatchAll" ma:showField="CatchAllData" ma:web="c7c62e0e-8336-4a25-837a-ddf0d7720a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2837-92de-4a2d-9de5-edb91ee65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f238a9-1062-4b1c-bc12-22a130a980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Time" ma:index="24" nillable="true" ma:displayName="Date &amp; Time" ma:format="DateOnly" ma:internalName="DateTime">
      <xsd:simpleType>
        <xsd:restriction base="dms:DateTim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ation_x0020_Date" ma:index="26" nillable="true" ma:displayName="Creation Date" ma:format="DateTime" ma:internalName="Creation_x0020_Date">
      <xsd:simpleType>
        <xsd:restriction base="dms:DateTime"/>
      </xsd:simpleType>
    </xsd:element>
    <xsd:element name="Date" ma:index="27" nillable="true" ma:displayName="Date" ma:format="DateOnly" ma:internalName="Date">
      <xsd:simpleType>
        <xsd:restriction base="dms:DateTime"/>
      </xsd:simpleType>
    </xsd:element>
    <xsd:element name="TEST" ma:index="28" nillable="true" ma:displayName="TEST" ma:format="DateTime" ma:internalName="TEST">
      <xsd:simpleType>
        <xsd:restriction base="dms:DateTim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16DC9-1400-4036-856A-CCBAD916FB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A51AC-0C61-4949-9E17-6C0B87D91DC4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e0a4adc-a9e2-4e08-9ca9-fb047768d6b7"/>
    <ds:schemaRef ds:uri="e46d5dea-481c-4af2-922b-e53d9a1dd27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B4F2297-DAA0-4757-865D-22993DEF0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Staffing</vt:lpstr>
      <vt:lpstr>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Campbell</dc:creator>
  <cp:keywords/>
  <dc:description/>
  <cp:lastModifiedBy>Rena Drake</cp:lastModifiedBy>
  <cp:revision/>
  <dcterms:created xsi:type="dcterms:W3CDTF">2025-06-11T12:45:19Z</dcterms:created>
  <dcterms:modified xsi:type="dcterms:W3CDTF">2026-05-05T17:55:06Z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0x010100D13F51A364A67B4FA6F2D634CA40B4EB</vt:lpwstr>
  </property>
  <property fmtid="{D5CDD505-2E9C-101B-9397-08002B2CF9AE}" pid="3" name="Order">
    <vt:r8>1101800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